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330" windowHeight="7530" tabRatio="862" activeTab="0"/>
  </bookViews>
  <sheets>
    <sheet name="Parâmetros" sheetId="1" r:id="rId1"/>
    <sheet name="Tab01" sheetId="2" r:id="rId2"/>
    <sheet name="Tab01-A" sheetId="3" r:id="rId3"/>
    <sheet name="Tab02" sheetId="4" r:id="rId4"/>
    <sheet name="Tab03" sheetId="5" r:id="rId5"/>
    <sheet name="Tab04" sheetId="6" r:id="rId6"/>
    <sheet name="Tab05" sheetId="7" r:id="rId7"/>
    <sheet name="Tab05A" sheetId="8" r:id="rId8"/>
    <sheet name="Tab07B" sheetId="9" state="hidden" r:id="rId9"/>
    <sheet name="Tab06" sheetId="10" r:id="rId10"/>
    <sheet name="AvalRec2" sheetId="11" state="hidden" r:id="rId11"/>
  </sheets>
  <definedNames>
    <definedName name="_xlnm.Print_Area" localSheetId="10">'AvalRec2'!$A$1:$F$37</definedName>
    <definedName name="_xlnm.Print_Area" localSheetId="1">'Tab01'!$A$1:$H$93</definedName>
    <definedName name="_xlnm.Print_Area" localSheetId="2">'Tab01-A'!$A$1:$H$25</definedName>
    <definedName name="_xlnm.Print_Area" localSheetId="3">'Tab02'!$A$1:$H$34</definedName>
    <definedName name="_xlnm.Print_Area" localSheetId="4">'Tab03'!$A$1:$H$27</definedName>
    <definedName name="_xlnm.Print_Area" localSheetId="5">'Tab04'!$A$1:$F$34</definedName>
    <definedName name="_xlnm.Print_Area" localSheetId="6">'Tab05'!$A$1:$H$29</definedName>
    <definedName name="_xlnm.Print_Area" localSheetId="7">'Tab05A'!$A$1:$E$13</definedName>
    <definedName name="_xlnm.Print_Area" localSheetId="9">'Tab06'!$A$1:$F$36</definedName>
    <definedName name="_xlnm.Print_Area" localSheetId="8">'Tab07B'!$A$25:$F$31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6">'Tab05'!#REF!,'Tab05'!#REF!</definedName>
    <definedName name="Planilha_1ÁreaTotal">#REF!,#REF!</definedName>
    <definedName name="Planilha_1CabGráfico" localSheetId="6">'Tab05'!#REF!</definedName>
    <definedName name="Planilha_1CabGráfico">#REF!</definedName>
    <definedName name="Planilha_1TítCols" localSheetId="6">'Tab05'!#REF!,'Tab05'!#REF!</definedName>
    <definedName name="Planilha_1TítCols">#REF!,#REF!</definedName>
    <definedName name="Planilha_1TítLins" localSheetId="6">'Tab05'!#REF!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 localSheetId="9">'Tab01'!$B$12:$B$13,'Tab01'!$F$12:$G$13</definedName>
    <definedName name="Planilha_4ÁreaTotal">'Tab01'!$B$12:$B$13,'Tab01'!$F$12:$G$13</definedName>
    <definedName name="Planilha_4TítCols" localSheetId="9">'Tab01'!$B$12,'Tab01'!$F$12:$G$12</definedName>
    <definedName name="Planilha_4TítCols">'Tab01'!$B$12,'Tab01'!$F$12:$G$12</definedName>
    <definedName name="Tabela_I">#REF!</definedName>
    <definedName name="Tabela_I_A">#REF!</definedName>
    <definedName name="Tabela_II">#REF!</definedName>
    <definedName name="Tabela_III">#REF!</definedName>
    <definedName name="Tabela_IV">#REF!</definedName>
    <definedName name="Tabela_V">#REF!</definedName>
    <definedName name="Tabela_V_A">#REF!</definedName>
    <definedName name="Tabela_VI">#REF!</definedName>
    <definedName name="_xlnm.Print_Titles" localSheetId="1">'Tab01'!$A:$A,'Tab01'!$1:$8</definedName>
    <definedName name="_xlnm.Print_Titles" localSheetId="8">'Tab07B'!$1:$7</definedName>
    <definedName name="Topo">#REF!</definedName>
  </definedNames>
  <calcPr fullCalcOnLoad="1"/>
</workbook>
</file>

<file path=xl/sharedStrings.xml><?xml version="1.0" encoding="utf-8"?>
<sst xmlns="http://schemas.openxmlformats.org/spreadsheetml/2006/main" count="338" uniqueCount="260">
  <si>
    <t>R$ mil médios/2001</t>
  </si>
  <si>
    <t>DISCRIMINAÇÃO</t>
  </si>
  <si>
    <t>VALOR</t>
  </si>
  <si>
    <t>RECEITA</t>
  </si>
  <si>
    <t>IMPOSTOS PRÓPRIOS (A)</t>
  </si>
  <si>
    <t>TRANSFERÊNCIAS DO ESTADO (B)</t>
  </si>
  <si>
    <t>Cota-parte do IPVA</t>
  </si>
  <si>
    <t>TRANSFERÊNCIAS DA UNIÃO (C)</t>
  </si>
  <si>
    <t>Receita Tributária (A)</t>
  </si>
  <si>
    <t>IPTU</t>
  </si>
  <si>
    <t>ITBI</t>
  </si>
  <si>
    <t>ISS</t>
  </si>
  <si>
    <t>IVVC</t>
  </si>
  <si>
    <t>Transferências Constitucionais (B)</t>
  </si>
  <si>
    <t>ITR (Art.158, CF/1998)</t>
  </si>
  <si>
    <t>IPVA (Art.158, CF/1998)</t>
  </si>
  <si>
    <t>IRRF (Art.158, CF/1998)</t>
  </si>
  <si>
    <t>ICMS (Art.158, CF/1998)</t>
  </si>
  <si>
    <t>FPM (Art.159, CF/1998)</t>
  </si>
  <si>
    <t>IPI-EX (Art.159, CF/1998)</t>
  </si>
  <si>
    <t>Total das Despesas (G) = (D) + (E) + (F)</t>
  </si>
  <si>
    <t>Participação (H) = (G) / (C)</t>
  </si>
  <si>
    <t>TABELA VII</t>
  </si>
  <si>
    <t>EMENDA CONSTITUCIONAL No.25</t>
  </si>
  <si>
    <t>TAXAS</t>
  </si>
  <si>
    <t>IOC S/OURO (Art.153, Par.5o., CF/1998)</t>
  </si>
  <si>
    <t>Total (C) = (A) + (B)</t>
  </si>
  <si>
    <t>(*) Ano anterior ao de Limite da Despesa - Projeto de LOA</t>
  </si>
  <si>
    <t>Limite da Despesa</t>
  </si>
  <si>
    <t>Despesa Prevista</t>
  </si>
  <si>
    <t>Legislativo Total</t>
  </si>
  <si>
    <t>Legislativo Pessoal Ativo</t>
  </si>
  <si>
    <t xml:space="preserve"> DESPESAS LIQUIDADAS</t>
  </si>
  <si>
    <t>Pessoal Inativo e Pensionistas (B)</t>
  </si>
  <si>
    <t>Ano</t>
  </si>
  <si>
    <t>R$ Mil médios</t>
  </si>
  <si>
    <t>ESPECIFICAÇÃO</t>
  </si>
  <si>
    <t>Receita Tributária</t>
  </si>
  <si>
    <t>Outras</t>
  </si>
  <si>
    <t>Transferências Correntes</t>
  </si>
  <si>
    <t>Cota-Parte do FPM</t>
  </si>
  <si>
    <t>Cota-Parte do ICMS</t>
  </si>
  <si>
    <t>Cota-Parte do IPVA</t>
  </si>
  <si>
    <t>Outras Transferências</t>
  </si>
  <si>
    <t>Demais Receitas Correntes</t>
  </si>
  <si>
    <t>II - DEDUÇÕES</t>
  </si>
  <si>
    <t>Compensação Financeira entre Regimes</t>
  </si>
  <si>
    <t>III-RECEITA CORRENTE LÍQUIDA (I-II)</t>
  </si>
  <si>
    <t>Saúde</t>
  </si>
  <si>
    <t xml:space="preserve">Educação </t>
  </si>
  <si>
    <t>Legislativo</t>
  </si>
  <si>
    <t>Outros</t>
  </si>
  <si>
    <t>Receita Industrial</t>
  </si>
  <si>
    <t>Receita de Serviços</t>
  </si>
  <si>
    <t>Receita Agropecuária</t>
  </si>
  <si>
    <t>Percentual para cálculo</t>
  </si>
  <si>
    <t>Receitas Tributárias</t>
  </si>
  <si>
    <t>Impostos</t>
  </si>
  <si>
    <t>Taxas</t>
  </si>
  <si>
    <t>Receita de Contribuições</t>
  </si>
  <si>
    <t>Outras Contribuições</t>
  </si>
  <si>
    <t>Receita Patrimonial</t>
  </si>
  <si>
    <t>Outras Receitas Patrimoniais</t>
  </si>
  <si>
    <t>Cota-parte do ITR</t>
  </si>
  <si>
    <t>Cota-parte do FPM</t>
  </si>
  <si>
    <t>Cota-parte do ICMS</t>
  </si>
  <si>
    <t>Cota-parte do IPI-ex</t>
  </si>
  <si>
    <t>Outras Receitas Correntes</t>
  </si>
  <si>
    <t>Receitas Correntes Diversas</t>
  </si>
  <si>
    <t>Operações de Crédito</t>
  </si>
  <si>
    <t xml:space="preserve">Alienação de Bens </t>
  </si>
  <si>
    <t>Transf. de Capital</t>
  </si>
  <si>
    <t>Outras Receitas de Capital</t>
  </si>
  <si>
    <r>
      <t>ANO</t>
    </r>
    <r>
      <rPr>
        <b/>
        <vertAlign val="superscript"/>
        <sz val="11"/>
        <color indexed="63"/>
        <rFont val="Verdana"/>
        <family val="2"/>
      </rPr>
      <t>(*)</t>
    </r>
  </si>
  <si>
    <t>DESPESAS DO LEGISLATIVO - 2001/2005</t>
  </si>
  <si>
    <t>Legislativo Pessoal Ativo (B) = 70% de (A)</t>
  </si>
  <si>
    <t xml:space="preserve">Prefeitura Municipal de </t>
  </si>
  <si>
    <t>AVALIAÇÃO DE RECURSOS DISPONÍVEIS PARA PLANEJAMENTO</t>
  </si>
  <si>
    <t xml:space="preserve"> </t>
  </si>
  <si>
    <t>Receita  Corrente Líquida (A)</t>
  </si>
  <si>
    <t>Transferências não Vinculadas</t>
  </si>
  <si>
    <t>Transferências do SUS</t>
  </si>
  <si>
    <t>Transferência Adicional do Fundef</t>
  </si>
  <si>
    <t>Transferências de Convênios</t>
  </si>
  <si>
    <t>Despesas Vinculadas/obrigações legais(B)</t>
  </si>
  <si>
    <t>Despesas com serviços de saúde</t>
  </si>
  <si>
    <t>Recursos doTesouro-EC nº 29</t>
  </si>
  <si>
    <t>Pessoal(líquido)</t>
  </si>
  <si>
    <t>Outras de custeio e capital</t>
  </si>
  <si>
    <t xml:space="preserve">Convênios </t>
  </si>
  <si>
    <t>Despesas com Manut.e Des.Ensino</t>
  </si>
  <si>
    <t>Despesas  com Legislativo</t>
  </si>
  <si>
    <t>EC nº25</t>
  </si>
  <si>
    <t>Pessoal Ativo</t>
  </si>
  <si>
    <t>Pessoal Inativo( líquido)do Legislativo</t>
  </si>
  <si>
    <t xml:space="preserve">Outras Despesas com Rec. Vincul./Convênios </t>
  </si>
  <si>
    <t>Despesas com Recursos de Convênios</t>
  </si>
  <si>
    <t>Contrapartidas  de Convênios</t>
  </si>
  <si>
    <t>Outras Despesas com Rec. Vinculados</t>
  </si>
  <si>
    <t>Serviço da Dívida</t>
  </si>
  <si>
    <t>Juros e encargos da dívida</t>
  </si>
  <si>
    <t>Amortização</t>
  </si>
  <si>
    <t>Recursos sem vinculação/obrigações legais</t>
  </si>
  <si>
    <t>Pessoal exc.saúde/educ./legislativo</t>
  </si>
  <si>
    <t>Outras desp. de custeio e capital</t>
  </si>
  <si>
    <t xml:space="preserve">Demais Receitas Correntes Líquidas </t>
  </si>
  <si>
    <t>IRRF</t>
  </si>
  <si>
    <t>Serviços de Saúde</t>
  </si>
  <si>
    <t>Outros Serviços</t>
  </si>
  <si>
    <t>Transf.Recursos FNAS</t>
  </si>
  <si>
    <t>Transf.Recursos FNDE</t>
  </si>
  <si>
    <t>Transf.Financeira - LC nº 87/96</t>
  </si>
  <si>
    <t>Transferências Multigovernamentais</t>
  </si>
  <si>
    <t>Outras Transf.da União</t>
  </si>
  <si>
    <t>Transf.dos Estados</t>
  </si>
  <si>
    <t>Outras Transf.dos Estados</t>
  </si>
  <si>
    <t>Outras Transf.Correntes</t>
  </si>
  <si>
    <t>Transf.Intergovernamentais</t>
  </si>
  <si>
    <t>Transf.da União</t>
  </si>
  <si>
    <t>Transf.Recursos do SUS</t>
  </si>
  <si>
    <t>Amort. de Empréstimos/Financ.</t>
  </si>
  <si>
    <t>Contribuição de Melhoria</t>
  </si>
  <si>
    <t>Receitas de Capital (B)</t>
  </si>
  <si>
    <t>TOTAL GERAL DA RECEITA (C)=(A)+(B)</t>
  </si>
  <si>
    <t>Multas e Juros de Mora Outras Origens</t>
  </si>
  <si>
    <t>Receitas da Dívida Ativa Outras Origens</t>
  </si>
  <si>
    <t>I - RECEITAS CORRENTES(*)</t>
  </si>
  <si>
    <t>Transferência Financeira LC nº 87/96</t>
  </si>
  <si>
    <t>Juros e Encargos da Dívida</t>
  </si>
  <si>
    <t>Contribuições Previdenciárias do Regime Próprio</t>
  </si>
  <si>
    <t>Comp.Financ. entre Regimes Previdenciários</t>
  </si>
  <si>
    <t>Contribuição para Custeio de Serv.Ilum.Pública</t>
  </si>
  <si>
    <t>Receita de Valores Mobiliários</t>
  </si>
  <si>
    <t>Transferência do Salário-Educação</t>
  </si>
  <si>
    <t>Transf.Compens.Financ.Explor.Rec.Naturais</t>
  </si>
  <si>
    <t>Transf.Cota-parte Comp.Fin.Explor.Rec.Natur</t>
  </si>
  <si>
    <t>Transf.Cota-parte CIDE</t>
  </si>
  <si>
    <t>Transferências dos Municípios</t>
  </si>
  <si>
    <t>Outras Transf.dos Municípios</t>
  </si>
  <si>
    <t>Transf.Convênios União/Estados/Municípios</t>
  </si>
  <si>
    <t>Convênios para Prog.Assist.Social</t>
  </si>
  <si>
    <t>Convênios para Prog.Educação</t>
  </si>
  <si>
    <t>Convênios para Combate à Fome</t>
  </si>
  <si>
    <t>Convênios para Saneamento Básico</t>
  </si>
  <si>
    <t>Outras Transf.Convênios</t>
  </si>
  <si>
    <t>Transf. Intergovernamentais</t>
  </si>
  <si>
    <t>Outras Operações Especiais</t>
  </si>
  <si>
    <t>Demais Operações Especiais</t>
  </si>
  <si>
    <t>RECEITA DO ANO ANTERIOR</t>
  </si>
  <si>
    <t>Legislativo: Folha de Pagamento (E )= 70% (D)</t>
  </si>
  <si>
    <t>Pessoal Ativo + Outras Desp. Pessoal</t>
  </si>
  <si>
    <t xml:space="preserve"> (-) Inativos com recursos vinculados (C)</t>
  </si>
  <si>
    <t xml:space="preserve">Pessoal Ativo +Outras Desp de Pessoal Art.18 LRF+ Contr.Patronal (D) </t>
  </si>
  <si>
    <t>Investimentos/Inversões (F)</t>
  </si>
  <si>
    <t>RECEITA CORRENTE LÍQUIDA - RCL (F)</t>
  </si>
  <si>
    <t>DESPESA LÍQUIDA TOTAL / RCL (G=E/F)</t>
  </si>
  <si>
    <t>Assistência social</t>
  </si>
  <si>
    <t>Outros Vinculados</t>
  </si>
  <si>
    <t xml:space="preserve">Saúde </t>
  </si>
  <si>
    <t>Não Vinculados</t>
  </si>
  <si>
    <t>Recursos Previdenciários</t>
  </si>
  <si>
    <t>Educação- outros vinculados</t>
  </si>
  <si>
    <t>Convênios para  Saúde</t>
  </si>
  <si>
    <t xml:space="preserve">ANO DA DESPESA </t>
  </si>
  <si>
    <t>Percentual para cálculo*</t>
  </si>
  <si>
    <t>Total das Receitas (C) = (A) + (B)</t>
  </si>
  <si>
    <t>Limite da despesa para o ano</t>
  </si>
  <si>
    <t>Pessoal Ativo+Outras Desp de Pessoal Art.18 LRF+ Contr.Patronal (A)</t>
  </si>
  <si>
    <t>Reserva de Contingência</t>
  </si>
  <si>
    <t xml:space="preserve">  Inativos, exclusive com recursos vinculados (H) </t>
  </si>
  <si>
    <t>Pessoal Ativo +Outras Desp de Pessoal*+Contr.Patronal (G)</t>
  </si>
  <si>
    <t>Inclui Outras Desp de Pessoal Art. 18 LRF e Outras Despesas não Computadas, Tabela V.</t>
  </si>
  <si>
    <t>Despesa de Pessoal (F)= G+H</t>
  </si>
  <si>
    <t>Transf.Convênios</t>
  </si>
  <si>
    <t>Outras Despesas Correntes (E)</t>
  </si>
  <si>
    <t>Educação- Fundeb</t>
  </si>
  <si>
    <t>Transf.Recursos do FUNDEB</t>
  </si>
  <si>
    <t>Transferência do FUNDEB</t>
  </si>
  <si>
    <t>Receitas Correntes  excluídas deduções Fundeb (A)</t>
  </si>
  <si>
    <t xml:space="preserve">   Deduções da Receita</t>
  </si>
  <si>
    <t xml:space="preserve">     Deduções para o  F U N D E B</t>
  </si>
  <si>
    <t xml:space="preserve">   Outras Deduções da Receita</t>
  </si>
  <si>
    <t>Rendidmentos de Aplicações (Rec.Previdenciários)</t>
  </si>
  <si>
    <t xml:space="preserve">    I R R F</t>
  </si>
  <si>
    <t>Deduções da Receita (Fundeb e Outras)</t>
  </si>
  <si>
    <t>DESPESA  (Recursos  MDE e FUNDEB)</t>
  </si>
  <si>
    <t>R$  mil</t>
  </si>
  <si>
    <t>R E C E I T A S</t>
  </si>
  <si>
    <t>D E S P E S A S</t>
  </si>
  <si>
    <t>Contribuição p/Custeio de Iluminação Pública</t>
  </si>
  <si>
    <t>Outras Receitas Correntes (C)</t>
  </si>
  <si>
    <t xml:space="preserve">  Multas e Juros de Mora dos Tributos</t>
  </si>
  <si>
    <t xml:space="preserve">  Receitas de Dívida Ativa Tributária</t>
  </si>
  <si>
    <t>TOTAL DA RECEITA DO ANO ANTERIOR (D) = (A) + (B) + (C)</t>
  </si>
  <si>
    <t xml:space="preserve"> (-) Outras despesas não Computadas (D)</t>
  </si>
  <si>
    <t>DESPESA LÍQUIDA TOTAL (F) = (A+B)-(C+D+E)</t>
  </si>
  <si>
    <t>PARÂMETROS PARA PROJEÇÕES</t>
  </si>
  <si>
    <t>Preencher com as expectativas de aumentos percentuais das receitas ou despesas</t>
  </si>
  <si>
    <t>INFLAÇÃO ANUAL</t>
  </si>
  <si>
    <t>1. INFLAÇÃO MÉDIA ANUAL   (I P C A)</t>
  </si>
  <si>
    <t xml:space="preserve">2. CRESCIMENTO ESPERADO DO PIB </t>
  </si>
  <si>
    <t>3. CRESC. VEGET. FOLHA SALARIAL *</t>
  </si>
  <si>
    <t>4. CRESC. AUTÔNOMO DE OUTROS CUSTEIOS</t>
  </si>
  <si>
    <t>5. ESFORÇO ARRECADAÇÃO PRÓPRIA</t>
  </si>
  <si>
    <t>6 CRESCIMENTO MÉDIO TRANSFERENCIAS</t>
  </si>
  <si>
    <t>7 PERCENTUAL DE AUMENTO SALARIAL</t>
  </si>
  <si>
    <t>8. CRESCIMENTO DOS INVESTIMENTOS E INVERSÕES</t>
  </si>
  <si>
    <t>TOTAL DAS RECEITAS P/FINS DO ART. 212 DA CF/88  (D)</t>
  </si>
  <si>
    <t>TRANSFERÊNCIAS DO FUNDEB  (E)</t>
  </si>
  <si>
    <t>DEDUÇÕES PARA CONSTITUIÇÃO DO FUNDEB (F)</t>
  </si>
  <si>
    <t xml:space="preserve">   GANHO / PERDA COM O F U N D E B (G)</t>
  </si>
  <si>
    <t>Pessoal Ativo +Outras Desp de Pessoal Art.18 LRF+ Contr.Patronal (H)</t>
  </si>
  <si>
    <t>Outras Despesas Correntes (I)</t>
  </si>
  <si>
    <t>Investimentos/Inversões (J)</t>
  </si>
  <si>
    <t>VALOR MÍNIMO (L) = 25% X [(D)] + (G)</t>
  </si>
  <si>
    <t>Participação  (M) = K / D</t>
  </si>
  <si>
    <t>RECEITA TOTAL   (A)</t>
  </si>
  <si>
    <t>DESPESAS QUE NÃO INTEGRAM O PPA  (B)</t>
  </si>
  <si>
    <t xml:space="preserve">  Despesas totais com serviços de saúde (C.F./88 - Art. 198)</t>
  </si>
  <si>
    <t xml:space="preserve">  Despesas totais com Educação  (MDE e FUNDEB)</t>
  </si>
  <si>
    <t xml:space="preserve">  Despesas totais com o  Poder Legislativo</t>
  </si>
  <si>
    <t xml:space="preserve"> PASEP</t>
  </si>
  <si>
    <t xml:space="preserve">  Inativos e Pensionistas</t>
  </si>
  <si>
    <t xml:space="preserve">    Recursos do Salário Educação</t>
  </si>
  <si>
    <t xml:space="preserve">   Recursos do SUS  (recebidos da União/Estado/Municípios)</t>
  </si>
  <si>
    <t xml:space="preserve">  Recursos do  F N A S</t>
  </si>
  <si>
    <t xml:space="preserve">  Recursos do  F N D E</t>
  </si>
  <si>
    <t xml:space="preserve">  Recursos da  CIDE</t>
  </si>
  <si>
    <t xml:space="preserve">    Recursos da  Contribuição p/Iluminação Pública (CIP)</t>
  </si>
  <si>
    <t xml:space="preserve">  Convênios com a União e Estado</t>
  </si>
  <si>
    <t xml:space="preserve">  Operações de Crédito e Alienação de Bens</t>
  </si>
  <si>
    <t xml:space="preserve">  Pessoal e Encargos (exceto Educação, Saúde e Câmara)</t>
  </si>
  <si>
    <t>Despesas Vinculadas/obrigações legais (D)</t>
  </si>
  <si>
    <t>Outras Despesas com Rec. Vinculados  (E)</t>
  </si>
  <si>
    <t>Recursos Livres para Planejamento (F) = A - B - D - E</t>
  </si>
  <si>
    <t>DESPESAS QUE INTEGRAM O PPA  (C) = D + E + F</t>
  </si>
  <si>
    <t>R$ mil</t>
  </si>
  <si>
    <t>R$ mil]</t>
  </si>
  <si>
    <t xml:space="preserve">DESPESAS DE PESSOAL - PODER LEGISLATIVO </t>
  </si>
  <si>
    <t xml:space="preserve">IRRF </t>
  </si>
  <si>
    <t>Receita Intraorçamentaria</t>
  </si>
  <si>
    <t>DESPESA COM MANUTENÇÃO DE ENSINO (K) = H+I+J (+/-) G</t>
  </si>
  <si>
    <t>DESPESAS DE PESSOAL - PODER EXECUTIVO</t>
  </si>
  <si>
    <t>MUNICÍPIO DE:</t>
  </si>
  <si>
    <t>Receita da Dívida Ativa, Multas e Juros de Mora (Origem em Impostos)</t>
  </si>
  <si>
    <t>Multas e Juros de Mora (Origem em Impostos)</t>
  </si>
  <si>
    <t>Receitas da Dívida Ativa  (Origem em Impostos)</t>
  </si>
  <si>
    <t>* Informar percentual para o Município, de acordo com o art. 29-a da Constituição Federal</t>
  </si>
  <si>
    <t xml:space="preserve">  (-)  I R R F s/ Rendimentos do Trabalho Poder Executivo</t>
  </si>
  <si>
    <t xml:space="preserve">  (-)  I R R F s/ Rendimentos do Trabalho Poder Legislativo</t>
  </si>
  <si>
    <t>Tabela 1 - Receitas realizadas em 2011 e 2012, e estimadas para o período de 2013 a 2017</t>
  </si>
  <si>
    <t>PLANO PLURIANUAL  2014 - 2017</t>
  </si>
  <si>
    <t>Tabela 01-A – Receita Corrente Líquida realizada em 2011 e 2012, e estimada para o período de 2013 a 2017</t>
  </si>
  <si>
    <t>Tabela 02 – Recursos aplicados na Manutenção e Desenvolvimento do Ensino em 2011 e 2012 e previstos para o período de 2013 a 2017</t>
  </si>
  <si>
    <t>Tabela 03 – Recursos aplicados em Ações e Sérvios Públicos de Saúde em 2011 e 2012 e previstos para o período de 2013 a 2017</t>
  </si>
  <si>
    <t>Tabela 04 – Cálculo da previsão do limite de despesas do Poder Legislativo para o período de 2013 a 2017</t>
  </si>
  <si>
    <t>Tabela 05 – Apuração dos gastos com pessoal do Poder Executivo e Legislativo ocorridos em 2011 e 2012, e previstos para o período de 2013 a 2017</t>
  </si>
  <si>
    <t>Tabela 05-A – Estimativa dos gastos com pessoal por área, para o período de 2013 a 2017</t>
  </si>
  <si>
    <t>Tabela 06 – Avaliação global dos recursos disponíveis para planejamento no período de 2013 a 2017</t>
  </si>
  <si>
    <t>Taxas de Inflação e PIB. Fonte: www3.bcb.gov.br/expectativas/publico/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</si>
</sst>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&quot;R$&quot;#,##0.00"/>
    <numFmt numFmtId="181" formatCode="0.0%"/>
    <numFmt numFmtId="182" formatCode="#,##0.0_);\(#,##0.0\)"/>
    <numFmt numFmtId="183" formatCode="000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"/>
    <numFmt numFmtId="188" formatCode="_(* #,##0.0000_);_(* \(#,##0.0000\);_(* &quot;-&quot;????_);_(@_)"/>
    <numFmt numFmtId="189" formatCode="00000"/>
    <numFmt numFmtId="190" formatCode="00000\-"/>
    <numFmt numFmtId="191" formatCode="0.00\-"/>
    <numFmt numFmtId="192" formatCode="0.0"/>
    <numFmt numFmtId="193" formatCode="_(&quot;Cr$&quot;* #,##0_);_(&quot;Cr$&quot;* \(#,##0\);_(&quot;Cr$&quot;* &quot;-&quot;_);_(@_)"/>
    <numFmt numFmtId="194" formatCode="_(&quot;Cr$&quot;* #,##0.00_);_(&quot;Cr$&quot;* \(#,##0.00\);_(&quot;Cr$&quot;* &quot;-&quot;??_);_(@_)"/>
    <numFmt numFmtId="195" formatCode="&quot;Cr$&quot;#,##0_);\(&quot;Cr$&quot;#,##0\)"/>
    <numFmt numFmtId="196" formatCode="&quot;Cr$&quot;#,##0_);[Red]\(&quot;Cr$&quot;#,##0\)"/>
    <numFmt numFmtId="197" formatCode="&quot;Cr$&quot;#,##0.00_);\(&quot;Cr$&quot;#,##0.00\)"/>
    <numFmt numFmtId="198" formatCode="&quot;Cr$&quot;#,##0.00_);[Red]\(&quot;Cr$&quot;#,##0.00\)"/>
    <numFmt numFmtId="199" formatCode="0.0_);\(0.0\)"/>
    <numFmt numFmtId="200" formatCode="0_);\(0\)"/>
    <numFmt numFmtId="201" formatCode="0.00_);\(0.00\)"/>
    <numFmt numFmtId="202" formatCode="0.000000"/>
    <numFmt numFmtId="203" formatCode="0.00000"/>
    <numFmt numFmtId="204" formatCode="0.0000"/>
    <numFmt numFmtId="205" formatCode="#,##0.0"/>
    <numFmt numFmtId="206" formatCode="#,##0.000"/>
    <numFmt numFmtId="207" formatCode="#,##0.000_);\(#,##0.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_(* #,##0.0_);_(* \(#,##0.0\);_(* &quot;-&quot;?_);_(@_)"/>
    <numFmt numFmtId="215" formatCode="#,##0.0000"/>
    <numFmt numFmtId="216" formatCode="_(* #,##0.000000_);_(* \(#,##0.000000\);_(* &quot;-&quot;??_);_(@_)"/>
    <numFmt numFmtId="217" formatCode="_(* #,##0.0000000_);_(* \(#,##0.0000000\);_(* &quot;-&quot;??_);_(@_)"/>
    <numFmt numFmtId="218" formatCode="_(* #,##0.00000000_);_(* \(#,##0.00000000\);_(* &quot;-&quot;??_);_(@_)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€-2]\ #,##0.00_);[Red]\([$€-2]\ #,##0.00\)"/>
  </numFmts>
  <fonts count="60">
    <font>
      <sz val="10"/>
      <name val="Arial"/>
      <family val="0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Verdana"/>
      <family val="2"/>
    </font>
    <font>
      <b/>
      <sz val="11"/>
      <name val="Verdana"/>
      <family val="2"/>
    </font>
    <font>
      <b/>
      <vertAlign val="superscript"/>
      <sz val="11"/>
      <color indexed="63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b/>
      <u val="single"/>
      <sz val="10"/>
      <name val="Helv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indent="1"/>
    </xf>
    <xf numFmtId="179" fontId="1" fillId="0" borderId="0" xfId="62" applyNumberFormat="1" applyFont="1" applyAlignment="1" applyProtection="1">
      <alignment vertical="center"/>
      <protection locked="0"/>
    </xf>
    <xf numFmtId="179" fontId="1" fillId="0" borderId="0" xfId="62" applyNumberFormat="1" applyFont="1" applyAlignment="1" applyProtection="1">
      <alignment vertical="center"/>
      <protection/>
    </xf>
    <xf numFmtId="179" fontId="5" fillId="0" borderId="10" xfId="62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5" fillId="0" borderId="10" xfId="62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79" fontId="1" fillId="0" borderId="0" xfId="62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179" fontId="1" fillId="0" borderId="0" xfId="62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179" fontId="5" fillId="34" borderId="10" xfId="6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9" fontId="1" fillId="0" borderId="0" xfId="62" applyNumberFormat="1" applyFont="1" applyBorder="1" applyAlignment="1">
      <alignment horizontal="left" vertical="center"/>
    </xf>
    <xf numFmtId="179" fontId="1" fillId="0" borderId="0" xfId="6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81" fontId="7" fillId="0" borderId="0" xfId="0" applyNumberFormat="1" applyFont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left" vertical="center"/>
    </xf>
    <xf numFmtId="179" fontId="4" fillId="33" borderId="10" xfId="62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9" fontId="5" fillId="0" borderId="11" xfId="62" applyNumberFormat="1" applyFont="1" applyBorder="1" applyAlignment="1" applyProtection="1">
      <alignment vertical="center"/>
      <protection/>
    </xf>
    <xf numFmtId="179" fontId="1" fillId="0" borderId="11" xfId="62" applyNumberFormat="1" applyFont="1" applyBorder="1" applyAlignment="1" applyProtection="1">
      <alignment vertical="center"/>
      <protection/>
    </xf>
    <xf numFmtId="179" fontId="4" fillId="33" borderId="10" xfId="6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9" fontId="9" fillId="0" borderId="0" xfId="62" applyNumberFormat="1" applyFont="1" applyAlignment="1" applyProtection="1">
      <alignment vertical="center"/>
      <protection locked="0"/>
    </xf>
    <xf numFmtId="0" fontId="10" fillId="35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179" fontId="8" fillId="33" borderId="0" xfId="62" applyNumberFormat="1" applyFont="1" applyFill="1" applyAlignment="1" applyProtection="1">
      <alignment vertical="center"/>
      <protection/>
    </xf>
    <xf numFmtId="0" fontId="8" fillId="36" borderId="12" xfId="0" applyFont="1" applyFill="1" applyBorder="1" applyAlignment="1" applyProtection="1">
      <alignment horizontal="left" vertical="center" indent="1"/>
      <protection/>
    </xf>
    <xf numFmtId="179" fontId="8" fillId="36" borderId="12" xfId="62" applyNumberFormat="1" applyFont="1" applyFill="1" applyBorder="1" applyAlignment="1" applyProtection="1">
      <alignment vertical="center"/>
      <protection/>
    </xf>
    <xf numFmtId="0" fontId="8" fillId="36" borderId="10" xfId="0" applyFont="1" applyFill="1" applyBorder="1" applyAlignment="1" applyProtection="1">
      <alignment horizontal="left" vertical="center" indent="1"/>
      <protection/>
    </xf>
    <xf numFmtId="179" fontId="8" fillId="36" borderId="10" xfId="62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indent="2"/>
      <protection/>
    </xf>
    <xf numFmtId="179" fontId="9" fillId="0" borderId="0" xfId="62" applyNumberFormat="1" applyFont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indent="1"/>
      <protection/>
    </xf>
    <xf numFmtId="179" fontId="8" fillId="33" borderId="10" xfId="62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indent="3"/>
      <protection/>
    </xf>
    <xf numFmtId="0" fontId="9" fillId="0" borderId="11" xfId="0" applyFont="1" applyBorder="1" applyAlignment="1" applyProtection="1">
      <alignment horizontal="left" vertical="center" indent="2"/>
      <protection/>
    </xf>
    <xf numFmtId="179" fontId="9" fillId="0" borderId="11" xfId="62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 indent="2"/>
      <protection/>
    </xf>
    <xf numFmtId="179" fontId="9" fillId="0" borderId="12" xfId="62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1" fontId="1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2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79" fontId="0" fillId="0" borderId="0" xfId="62" applyNumberFormat="1" applyFont="1" applyAlignment="1">
      <alignment vertical="center"/>
    </xf>
    <xf numFmtId="171" fontId="0" fillId="0" borderId="0" xfId="62" applyFont="1" applyAlignment="1">
      <alignment vertical="center"/>
    </xf>
    <xf numFmtId="179" fontId="0" fillId="0" borderId="0" xfId="62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2"/>
    </xf>
    <xf numFmtId="17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62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9" fontId="14" fillId="0" borderId="0" xfId="62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2"/>
    </xf>
    <xf numFmtId="179" fontId="13" fillId="0" borderId="0" xfId="62" applyNumberFormat="1" applyFont="1" applyFill="1" applyAlignment="1" applyProtection="1">
      <alignment vertical="center"/>
      <protection locked="0"/>
    </xf>
    <xf numFmtId="179" fontId="16" fillId="0" borderId="10" xfId="62" applyNumberFormat="1" applyFont="1" applyFill="1" applyBorder="1" applyAlignment="1" applyProtection="1">
      <alignment vertical="center"/>
      <protection locked="0"/>
    </xf>
    <xf numFmtId="179" fontId="13" fillId="0" borderId="11" xfId="62" applyNumberFormat="1" applyFont="1" applyFill="1" applyBorder="1" applyAlignment="1" applyProtection="1">
      <alignment vertical="center"/>
      <protection locked="0"/>
    </xf>
    <xf numFmtId="179" fontId="13" fillId="0" borderId="12" xfId="62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179" fontId="13" fillId="0" borderId="0" xfId="62" applyNumberFormat="1" applyFont="1" applyFill="1" applyBorder="1" applyAlignment="1" applyProtection="1">
      <alignment horizontal="left" vertical="center" wrapText="1" indent="1"/>
      <protection locked="0"/>
    </xf>
    <xf numFmtId="179" fontId="13" fillId="0" borderId="12" xfId="62" applyNumberFormat="1" applyFont="1" applyFill="1" applyBorder="1" applyAlignment="1" applyProtection="1">
      <alignment horizontal="left" vertical="center" wrapText="1" indent="1"/>
      <protection locked="0"/>
    </xf>
    <xf numFmtId="179" fontId="13" fillId="0" borderId="0" xfId="62" applyNumberFormat="1" applyFont="1" applyFill="1" applyBorder="1" applyAlignment="1" applyProtection="1">
      <alignment vertical="center"/>
      <protection locked="0"/>
    </xf>
    <xf numFmtId="181" fontId="13" fillId="0" borderId="0" xfId="0" applyNumberFormat="1" applyFont="1" applyFill="1" applyAlignment="1" applyProtection="1">
      <alignment vertical="center"/>
      <protection locked="0"/>
    </xf>
    <xf numFmtId="179" fontId="13" fillId="0" borderId="13" xfId="62" applyNumberFormat="1" applyFont="1" applyFill="1" applyBorder="1" applyAlignment="1" applyProtection="1">
      <alignment horizontal="left" vertical="center" indent="2"/>
      <protection locked="0"/>
    </xf>
    <xf numFmtId="179" fontId="13" fillId="0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indent="2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12" fillId="0" borderId="0" xfId="62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9" fontId="16" fillId="0" borderId="0" xfId="62" applyNumberFormat="1" applyFont="1" applyFill="1" applyBorder="1" applyAlignment="1" applyProtection="1">
      <alignment vertical="center"/>
      <protection/>
    </xf>
    <xf numFmtId="179" fontId="16" fillId="0" borderId="0" xfId="62" applyNumberFormat="1" applyFont="1" applyFill="1" applyBorder="1" applyAlignment="1" applyProtection="1">
      <alignment vertical="center"/>
      <protection locked="0"/>
    </xf>
    <xf numFmtId="179" fontId="16" fillId="0" borderId="12" xfId="62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vertical="top"/>
    </xf>
    <xf numFmtId="179" fontId="13" fillId="0" borderId="0" xfId="62" applyNumberFormat="1" applyFont="1" applyFill="1" applyAlignment="1" applyProtection="1">
      <alignment horizontal="right" vertical="center"/>
      <protection locked="0"/>
    </xf>
    <xf numFmtId="179" fontId="16" fillId="0" borderId="11" xfId="62" applyNumberFormat="1" applyFont="1" applyFill="1" applyBorder="1" applyAlignment="1" applyProtection="1">
      <alignment vertical="center"/>
      <protection locked="0"/>
    </xf>
    <xf numFmtId="171" fontId="13" fillId="0" borderId="0" xfId="62" applyFont="1" applyFill="1" applyBorder="1" applyAlignment="1" applyProtection="1">
      <alignment horizontal="center" vertical="center"/>
      <protection/>
    </xf>
    <xf numFmtId="169" fontId="13" fillId="0" borderId="0" xfId="62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9" fontId="16" fillId="36" borderId="10" xfId="62" applyNumberFormat="1" applyFont="1" applyFill="1" applyBorder="1" applyAlignment="1" applyProtection="1">
      <alignment vertical="center"/>
      <protection/>
    </xf>
    <xf numFmtId="179" fontId="13" fillId="36" borderId="0" xfId="62" applyNumberFormat="1" applyFont="1" applyFill="1" applyAlignment="1" applyProtection="1">
      <alignment vertical="center"/>
      <protection/>
    </xf>
    <xf numFmtId="179" fontId="17" fillId="36" borderId="0" xfId="62" applyNumberFormat="1" applyFont="1" applyFill="1" applyAlignment="1" applyProtection="1">
      <alignment horizontal="right" vertical="center"/>
      <protection/>
    </xf>
    <xf numFmtId="179" fontId="16" fillId="36" borderId="10" xfId="62" applyNumberFormat="1" applyFont="1" applyFill="1" applyBorder="1" applyAlignment="1" applyProtection="1">
      <alignment horizontal="left" vertical="center" indent="1"/>
      <protection/>
    </xf>
    <xf numFmtId="179" fontId="13" fillId="38" borderId="13" xfId="62" applyNumberFormat="1" applyFont="1" applyFill="1" applyBorder="1" applyAlignment="1" applyProtection="1">
      <alignment vertical="center"/>
      <protection/>
    </xf>
    <xf numFmtId="179" fontId="16" fillId="38" borderId="13" xfId="62" applyNumberFormat="1" applyFont="1" applyFill="1" applyBorder="1" applyAlignment="1" applyProtection="1">
      <alignment vertical="center"/>
      <protection/>
    </xf>
    <xf numFmtId="0" fontId="16" fillId="36" borderId="0" xfId="0" applyFont="1" applyFill="1" applyAlignment="1" applyProtection="1">
      <alignment vertical="center"/>
      <protection/>
    </xf>
    <xf numFmtId="179" fontId="16" fillId="36" borderId="0" xfId="62" applyNumberFormat="1" applyFont="1" applyFill="1" applyAlignment="1" applyProtection="1">
      <alignment vertical="center"/>
      <protection/>
    </xf>
    <xf numFmtId="0" fontId="13" fillId="36" borderId="0" xfId="0" applyFont="1" applyFill="1" applyAlignment="1" applyProtection="1">
      <alignment vertical="center"/>
      <protection/>
    </xf>
    <xf numFmtId="179" fontId="13" fillId="36" borderId="0" xfId="62" applyNumberFormat="1" applyFont="1" applyFill="1" applyAlignment="1" applyProtection="1">
      <alignment horizontal="right" vertical="center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 applyProtection="1">
      <alignment horizontal="left" vertical="center" wrapText="1"/>
      <protection/>
    </xf>
    <xf numFmtId="0" fontId="16" fillId="36" borderId="10" xfId="62" applyNumberFormat="1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 applyProtection="1">
      <alignment horizontal="center" vertical="center" wrapText="1"/>
      <protection/>
    </xf>
    <xf numFmtId="1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 applyProtection="1">
      <alignment horizontal="left" vertical="center" wrapText="1" indent="1"/>
      <protection/>
    </xf>
    <xf numFmtId="179" fontId="16" fillId="36" borderId="10" xfId="62" applyNumberFormat="1" applyFont="1" applyFill="1" applyBorder="1" applyAlignment="1" applyProtection="1">
      <alignment vertical="center" wrapText="1"/>
      <protection/>
    </xf>
    <xf numFmtId="0" fontId="13" fillId="36" borderId="0" xfId="0" applyFont="1" applyFill="1" applyAlignment="1" applyProtection="1">
      <alignment horizontal="left" vertical="center" wrapText="1" indent="2"/>
      <protection/>
    </xf>
    <xf numFmtId="179" fontId="13" fillId="36" borderId="0" xfId="62" applyNumberFormat="1" applyFont="1" applyFill="1" applyAlignment="1" applyProtection="1">
      <alignment vertical="center" wrapText="1"/>
      <protection/>
    </xf>
    <xf numFmtId="0" fontId="13" fillId="36" borderId="0" xfId="0" applyFont="1" applyFill="1" applyBorder="1" applyAlignment="1" applyProtection="1">
      <alignment horizontal="left" vertical="center" wrapText="1" indent="2"/>
      <protection/>
    </xf>
    <xf numFmtId="179" fontId="13" fillId="36" borderId="0" xfId="62" applyNumberFormat="1" applyFont="1" applyFill="1" applyBorder="1" applyAlignment="1" applyProtection="1">
      <alignment vertical="center" wrapText="1"/>
      <protection/>
    </xf>
    <xf numFmtId="0" fontId="13" fillId="36" borderId="0" xfId="0" applyFont="1" applyFill="1" applyAlignment="1" applyProtection="1">
      <alignment horizontal="left" vertical="center" wrapText="1" indent="1"/>
      <protection/>
    </xf>
    <xf numFmtId="0" fontId="13" fillId="36" borderId="0" xfId="0" applyFont="1" applyFill="1" applyAlignment="1" applyProtection="1">
      <alignment horizontal="left" vertical="center" indent="1"/>
      <protection/>
    </xf>
    <xf numFmtId="179" fontId="13" fillId="36" borderId="0" xfId="62" applyNumberFormat="1" applyFont="1" applyFill="1" applyAlignment="1" applyProtection="1">
      <alignment horizontal="left" vertical="center" wrapText="1" indent="1"/>
      <protection/>
    </xf>
    <xf numFmtId="0" fontId="16" fillId="36" borderId="10" xfId="0" applyFont="1" applyFill="1" applyBorder="1" applyAlignment="1" applyProtection="1">
      <alignment horizontal="left" vertical="center" indent="1"/>
      <protection/>
    </xf>
    <xf numFmtId="179" fontId="16" fillId="36" borderId="10" xfId="62" applyNumberFormat="1" applyFont="1" applyFill="1" applyBorder="1" applyAlignment="1" applyProtection="1">
      <alignment horizontal="left" vertical="center" wrapText="1" indent="1"/>
      <protection/>
    </xf>
    <xf numFmtId="0" fontId="16" fillId="36" borderId="0" xfId="0" applyFont="1" applyFill="1" applyBorder="1" applyAlignment="1" applyProtection="1">
      <alignment horizontal="left" vertical="center" wrapText="1" indent="2"/>
      <protection/>
    </xf>
    <xf numFmtId="179" fontId="13" fillId="36" borderId="0" xfId="62" applyNumberFormat="1" applyFont="1" applyFill="1" applyBorder="1" applyAlignment="1" applyProtection="1">
      <alignment horizontal="left" vertical="center" wrapText="1" indent="1"/>
      <protection/>
    </xf>
    <xf numFmtId="179" fontId="16" fillId="36" borderId="10" xfId="62" applyNumberFormat="1" applyFont="1" applyFill="1" applyBorder="1" applyAlignment="1" applyProtection="1">
      <alignment horizontal="left" vertical="center" wrapText="1"/>
      <protection/>
    </xf>
    <xf numFmtId="0" fontId="16" fillId="36" borderId="0" xfId="62" applyNumberFormat="1" applyFont="1" applyFill="1" applyBorder="1" applyAlignment="1" applyProtection="1">
      <alignment horizontal="left" vertical="center" indent="1"/>
      <protection/>
    </xf>
    <xf numFmtId="0" fontId="16" fillId="36" borderId="0" xfId="0" applyFont="1" applyFill="1" applyBorder="1" applyAlignment="1" applyProtection="1">
      <alignment horizontal="left" vertical="center" wrapText="1" indent="1"/>
      <protection/>
    </xf>
    <xf numFmtId="0" fontId="16" fillId="36" borderId="12" xfId="0" applyFont="1" applyFill="1" applyBorder="1" applyAlignment="1" applyProtection="1">
      <alignment horizontal="left" vertical="center" wrapText="1" indent="1"/>
      <protection/>
    </xf>
    <xf numFmtId="0" fontId="13" fillId="36" borderId="0" xfId="0" applyFont="1" applyFill="1" applyAlignment="1" applyProtection="1">
      <alignment vertical="center" wrapText="1"/>
      <protection/>
    </xf>
    <xf numFmtId="0" fontId="16" fillId="36" borderId="10" xfId="0" applyFont="1" applyFill="1" applyBorder="1" applyAlignment="1" applyProtection="1">
      <alignment horizontal="left" vertical="center"/>
      <protection/>
    </xf>
    <xf numFmtId="179" fontId="16" fillId="36" borderId="10" xfId="62" applyNumberFormat="1" applyFont="1" applyFill="1" applyBorder="1" applyAlignment="1" applyProtection="1">
      <alignment horizontal="left" vertical="center"/>
      <protection/>
    </xf>
    <xf numFmtId="1" fontId="16" fillId="36" borderId="10" xfId="0" applyNumberFormat="1" applyFont="1" applyFill="1" applyBorder="1" applyAlignment="1" applyProtection="1">
      <alignment horizontal="center" vertical="center"/>
      <protection/>
    </xf>
    <xf numFmtId="179" fontId="13" fillId="36" borderId="0" xfId="62" applyNumberFormat="1" applyFont="1" applyFill="1" applyAlignment="1" applyProtection="1">
      <alignment horizontal="left" vertical="center" indent="1"/>
      <protection/>
    </xf>
    <xf numFmtId="0" fontId="13" fillId="36" borderId="0" xfId="0" applyFont="1" applyFill="1" applyBorder="1" applyAlignment="1" applyProtection="1">
      <alignment horizontal="left" vertical="center" indent="1"/>
      <protection/>
    </xf>
    <xf numFmtId="0" fontId="16" fillId="36" borderId="10" xfId="0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 applyProtection="1">
      <alignment vertical="center"/>
      <protection/>
    </xf>
    <xf numFmtId="0" fontId="13" fillId="36" borderId="10" xfId="0" applyFont="1" applyFill="1" applyBorder="1" applyAlignment="1" applyProtection="1">
      <alignment vertical="center"/>
      <protection/>
    </xf>
    <xf numFmtId="0" fontId="16" fillId="36" borderId="0" xfId="62" applyNumberFormat="1" applyFont="1" applyFill="1" applyBorder="1" applyAlignment="1" applyProtection="1">
      <alignment horizontal="left" vertical="center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16" fillId="36" borderId="12" xfId="0" applyFont="1" applyFill="1" applyBorder="1" applyAlignment="1" applyProtection="1">
      <alignment horizontal="left" vertical="center" wrapText="1"/>
      <protection/>
    </xf>
    <xf numFmtId="181" fontId="16" fillId="36" borderId="10" xfId="51" applyNumberFormat="1" applyFont="1" applyFill="1" applyBorder="1" applyAlignment="1" applyProtection="1">
      <alignment vertical="center"/>
      <protection/>
    </xf>
    <xf numFmtId="0" fontId="16" fillId="36" borderId="11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1" fontId="16" fillId="36" borderId="11" xfId="0" applyNumberFormat="1" applyFont="1" applyFill="1" applyBorder="1" applyAlignment="1" applyProtection="1">
      <alignment horizontal="center" vertical="center"/>
      <protection/>
    </xf>
    <xf numFmtId="0" fontId="16" fillId="36" borderId="14" xfId="0" applyFont="1" applyFill="1" applyBorder="1" applyAlignment="1" applyProtection="1">
      <alignment horizontal="left" vertical="center"/>
      <protection/>
    </xf>
    <xf numFmtId="179" fontId="16" fillId="36" borderId="15" xfId="62" applyNumberFormat="1" applyFont="1" applyFill="1" applyBorder="1" applyAlignment="1" applyProtection="1">
      <alignment vertical="center"/>
      <protection/>
    </xf>
    <xf numFmtId="179" fontId="16" fillId="36" borderId="16" xfId="62" applyNumberFormat="1" applyFont="1" applyFill="1" applyBorder="1" applyAlignment="1" applyProtection="1">
      <alignment vertical="center"/>
      <protection/>
    </xf>
    <xf numFmtId="0" fontId="16" fillId="36" borderId="14" xfId="0" applyFont="1" applyFill="1" applyBorder="1" applyAlignment="1" applyProtection="1">
      <alignment vertical="center"/>
      <protection/>
    </xf>
    <xf numFmtId="0" fontId="16" fillId="36" borderId="14" xfId="0" applyFont="1" applyFill="1" applyBorder="1" applyAlignment="1" applyProtection="1">
      <alignment horizontal="left" vertical="center" indent="1"/>
      <protection/>
    </xf>
    <xf numFmtId="179" fontId="13" fillId="36" borderId="15" xfId="62" applyNumberFormat="1" applyFont="1" applyFill="1" applyBorder="1" applyAlignment="1" applyProtection="1">
      <alignment vertical="center"/>
      <protection/>
    </xf>
    <xf numFmtId="179" fontId="13" fillId="36" borderId="16" xfId="62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 applyProtection="1">
      <alignment horizontal="left" vertical="center"/>
      <protection/>
    </xf>
    <xf numFmtId="179" fontId="13" fillId="36" borderId="0" xfId="62" applyNumberFormat="1" applyFont="1" applyFill="1" applyBorder="1" applyAlignment="1" applyProtection="1">
      <alignment horizontal="left" vertical="center"/>
      <protection/>
    </xf>
    <xf numFmtId="179" fontId="13" fillId="36" borderId="0" xfId="62" applyNumberFormat="1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left" vertical="center"/>
      <protection/>
    </xf>
    <xf numFmtId="0" fontId="16" fillId="36" borderId="11" xfId="0" applyFont="1" applyFill="1" applyBorder="1" applyAlignment="1" applyProtection="1">
      <alignment horizontal="left" vertical="center"/>
      <protection/>
    </xf>
    <xf numFmtId="179" fontId="16" fillId="36" borderId="11" xfId="62" applyNumberFormat="1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left" vertical="center" indent="1"/>
      <protection/>
    </xf>
    <xf numFmtId="179" fontId="16" fillId="36" borderId="0" xfId="62" applyNumberFormat="1" applyFont="1" applyFill="1" applyBorder="1" applyAlignment="1" applyProtection="1">
      <alignment vertical="center"/>
      <protection/>
    </xf>
    <xf numFmtId="0" fontId="16" fillId="36" borderId="12" xfId="0" applyFont="1" applyFill="1" applyBorder="1" applyAlignment="1" applyProtection="1">
      <alignment horizontal="left" vertical="center" indent="1"/>
      <protection/>
    </xf>
    <xf numFmtId="179" fontId="16" fillId="36" borderId="12" xfId="62" applyNumberFormat="1" applyFont="1" applyFill="1" applyBorder="1" applyAlignment="1" applyProtection="1">
      <alignment vertical="center"/>
      <protection/>
    </xf>
    <xf numFmtId="1" fontId="16" fillId="36" borderId="17" xfId="62" applyNumberFormat="1" applyFont="1" applyFill="1" applyBorder="1" applyAlignment="1" applyProtection="1">
      <alignment horizontal="center" vertical="center" wrapText="1"/>
      <protection/>
    </xf>
    <xf numFmtId="1" fontId="16" fillId="36" borderId="18" xfId="62" applyNumberFormat="1" applyFont="1" applyFill="1" applyBorder="1" applyAlignment="1" applyProtection="1">
      <alignment horizontal="center" vertical="center" wrapText="1"/>
      <protection/>
    </xf>
    <xf numFmtId="0" fontId="13" fillId="36" borderId="0" xfId="62" applyNumberFormat="1" applyFont="1" applyFill="1" applyBorder="1" applyAlignment="1" applyProtection="1">
      <alignment horizontal="left" vertical="center"/>
      <protection/>
    </xf>
    <xf numFmtId="179" fontId="13" fillId="36" borderId="13" xfId="62" applyNumberFormat="1" applyFont="1" applyFill="1" applyBorder="1" applyAlignment="1" applyProtection="1">
      <alignment horizontal="left" vertical="center" indent="2"/>
      <protection/>
    </xf>
    <xf numFmtId="0" fontId="13" fillId="36" borderId="0" xfId="62" applyNumberFormat="1" applyFont="1" applyFill="1" applyAlignment="1" applyProtection="1">
      <alignment horizontal="left" vertical="center"/>
      <protection/>
    </xf>
    <xf numFmtId="0" fontId="16" fillId="36" borderId="10" xfId="62" applyNumberFormat="1" applyFont="1" applyFill="1" applyBorder="1" applyAlignment="1" applyProtection="1">
      <alignment horizontal="justify" vertical="center"/>
      <protection/>
    </xf>
    <xf numFmtId="179" fontId="16" fillId="36" borderId="19" xfId="62" applyNumberFormat="1" applyFont="1" applyFill="1" applyBorder="1" applyAlignment="1" applyProtection="1">
      <alignment horizontal="left" vertical="center" indent="1"/>
      <protection/>
    </xf>
    <xf numFmtId="0" fontId="16" fillId="36" borderId="10" xfId="62" applyNumberFormat="1" applyFont="1" applyFill="1" applyBorder="1" applyAlignment="1" applyProtection="1">
      <alignment vertical="center"/>
      <protection/>
    </xf>
    <xf numFmtId="179" fontId="16" fillId="36" borderId="19" xfId="62" applyNumberFormat="1" applyFont="1" applyFill="1" applyBorder="1" applyAlignment="1" applyProtection="1">
      <alignment vertical="center"/>
      <protection/>
    </xf>
    <xf numFmtId="10" fontId="16" fillId="36" borderId="19" xfId="51" applyNumberFormat="1" applyFont="1" applyFill="1" applyBorder="1" applyAlignment="1" applyProtection="1">
      <alignment vertical="center"/>
      <protection/>
    </xf>
    <xf numFmtId="0" fontId="16" fillId="36" borderId="0" xfId="0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13" fillId="36" borderId="0" xfId="0" applyFont="1" applyFill="1" applyAlignment="1" applyProtection="1">
      <alignment horizontal="right"/>
      <protection/>
    </xf>
    <xf numFmtId="0" fontId="16" fillId="36" borderId="0" xfId="62" applyNumberFormat="1" applyFont="1" applyFill="1" applyBorder="1" applyAlignment="1" applyProtection="1">
      <alignment horizontal="left" vertical="center" wrapText="1" indent="1"/>
      <protection/>
    </xf>
    <xf numFmtId="179" fontId="16" fillId="36" borderId="11" xfId="62" applyNumberFormat="1" applyFont="1" applyFill="1" applyBorder="1" applyAlignment="1" applyProtection="1">
      <alignment vertical="center"/>
      <protection/>
    </xf>
    <xf numFmtId="0" fontId="13" fillId="36" borderId="0" xfId="0" applyFont="1" applyFill="1" applyAlignment="1" applyProtection="1">
      <alignment horizontal="left" vertical="center" indent="2"/>
      <protection/>
    </xf>
    <xf numFmtId="0" fontId="16" fillId="36" borderId="10" xfId="62" applyNumberFormat="1" applyFont="1" applyFill="1" applyBorder="1" applyAlignment="1" applyProtection="1">
      <alignment horizontal="left" vertical="center"/>
      <protection/>
    </xf>
    <xf numFmtId="0" fontId="13" fillId="36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 applyProtection="1">
      <alignment horizontal="right"/>
      <protection/>
    </xf>
    <xf numFmtId="1" fontId="16" fillId="36" borderId="0" xfId="0" applyNumberFormat="1" applyFont="1" applyFill="1" applyBorder="1" applyAlignment="1" applyProtection="1">
      <alignment horizontal="center" vertical="center"/>
      <protection/>
    </xf>
    <xf numFmtId="169" fontId="16" fillId="36" borderId="10" xfId="0" applyNumberFormat="1" applyFont="1" applyFill="1" applyBorder="1" applyAlignment="1" applyProtection="1">
      <alignment horizontal="center" vertical="center"/>
      <protection/>
    </xf>
    <xf numFmtId="0" fontId="13" fillId="36" borderId="0" xfId="0" applyFont="1" applyFill="1" applyBorder="1" applyAlignment="1" applyProtection="1">
      <alignment horizontal="left" vertical="center" indent="2"/>
      <protection/>
    </xf>
    <xf numFmtId="169" fontId="13" fillId="36" borderId="0" xfId="62" applyNumberFormat="1" applyFont="1" applyFill="1" applyBorder="1" applyAlignment="1" applyProtection="1">
      <alignment vertical="center"/>
      <protection/>
    </xf>
    <xf numFmtId="169" fontId="16" fillId="36" borderId="10" xfId="62" applyNumberFormat="1" applyFont="1" applyFill="1" applyBorder="1" applyAlignment="1" applyProtection="1">
      <alignment vertical="center"/>
      <protection/>
    </xf>
    <xf numFmtId="169" fontId="16" fillId="36" borderId="12" xfId="62" applyNumberFormat="1" applyFont="1" applyFill="1" applyBorder="1" applyAlignment="1" applyProtection="1">
      <alignment vertical="center"/>
      <protection/>
    </xf>
    <xf numFmtId="169" fontId="13" fillId="36" borderId="0" xfId="0" applyNumberFormat="1" applyFont="1" applyFill="1" applyBorder="1" applyAlignment="1" applyProtection="1">
      <alignment/>
      <protection/>
    </xf>
    <xf numFmtId="169" fontId="13" fillId="36" borderId="0" xfId="62" applyNumberFormat="1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 applyProtection="1">
      <alignment horizontal="left" vertical="center" indent="2"/>
      <protection/>
    </xf>
    <xf numFmtId="169" fontId="16" fillId="36" borderId="10" xfId="62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49" fontId="19" fillId="36" borderId="21" xfId="0" applyNumberFormat="1" applyFont="1" applyFill="1" applyBorder="1" applyAlignment="1">
      <alignment horizontal="center" vertical="center" wrapText="1"/>
    </xf>
    <xf numFmtId="0" fontId="19" fillId="38" borderId="22" xfId="0" applyFont="1" applyFill="1" applyBorder="1" applyAlignment="1" applyProtection="1">
      <alignment/>
      <protection locked="0"/>
    </xf>
    <xf numFmtId="10" fontId="19" fillId="38" borderId="23" xfId="0" applyNumberFormat="1" applyFont="1" applyFill="1" applyBorder="1" applyAlignment="1" applyProtection="1">
      <alignment horizontal="center"/>
      <protection locked="0"/>
    </xf>
    <xf numFmtId="0" fontId="19" fillId="38" borderId="22" xfId="0" applyFont="1" applyFill="1" applyBorder="1" applyAlignment="1">
      <alignment/>
    </xf>
    <xf numFmtId="0" fontId="19" fillId="39" borderId="22" xfId="0" applyFont="1" applyFill="1" applyBorder="1" applyAlignment="1">
      <alignment/>
    </xf>
    <xf numFmtId="0" fontId="11" fillId="36" borderId="22" xfId="0" applyFont="1" applyFill="1" applyBorder="1" applyAlignment="1">
      <alignment/>
    </xf>
    <xf numFmtId="10" fontId="19" fillId="0" borderId="23" xfId="0" applyNumberFormat="1" applyFont="1" applyFill="1" applyBorder="1" applyAlignment="1" applyProtection="1">
      <alignment horizontal="center"/>
      <protection locked="0"/>
    </xf>
    <xf numFmtId="38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38" borderId="22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38" fontId="20" fillId="36" borderId="0" xfId="0" applyNumberFormat="1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0" fontId="2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204" fontId="16" fillId="36" borderId="0" xfId="0" applyNumberFormat="1" applyFont="1" applyFill="1" applyAlignment="1" applyProtection="1">
      <alignment vertical="center"/>
      <protection/>
    </xf>
    <xf numFmtId="204" fontId="13" fillId="36" borderId="0" xfId="0" applyNumberFormat="1" applyFont="1" applyFill="1" applyAlignment="1" applyProtection="1">
      <alignment vertical="center"/>
      <protection/>
    </xf>
    <xf numFmtId="204" fontId="13" fillId="36" borderId="0" xfId="0" applyNumberFormat="1" applyFont="1" applyFill="1" applyAlignment="1" applyProtection="1">
      <alignment horizontal="right" vertical="center"/>
      <protection/>
    </xf>
    <xf numFmtId="204" fontId="16" fillId="36" borderId="1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Alignment="1" applyProtection="1">
      <alignment horizontal="left" vertical="center" indent="3"/>
      <protection/>
    </xf>
    <xf numFmtId="0" fontId="13" fillId="36" borderId="11" xfId="0" applyFont="1" applyFill="1" applyBorder="1" applyAlignment="1" applyProtection="1">
      <alignment horizontal="left" vertical="center" indent="2"/>
      <protection/>
    </xf>
    <xf numFmtId="0" fontId="13" fillId="36" borderId="12" xfId="0" applyFont="1" applyFill="1" applyBorder="1" applyAlignment="1" applyProtection="1">
      <alignment horizontal="left" vertical="center" indent="2"/>
      <protection/>
    </xf>
    <xf numFmtId="0" fontId="16" fillId="36" borderId="10" xfId="0" applyFont="1" applyFill="1" applyBorder="1" applyAlignment="1" applyProtection="1">
      <alignment horizontal="left" vertical="center" indent="3"/>
      <protection/>
    </xf>
    <xf numFmtId="0" fontId="13" fillId="36" borderId="0" xfId="0" applyFont="1" applyFill="1" applyAlignment="1" applyProtection="1">
      <alignment horizontal="left" vertical="center" indent="4"/>
      <protection/>
    </xf>
    <xf numFmtId="0" fontId="16" fillId="36" borderId="11" xfId="0" applyFont="1" applyFill="1" applyBorder="1" applyAlignment="1" applyProtection="1">
      <alignment horizontal="left" vertical="center" indent="1"/>
      <protection/>
    </xf>
    <xf numFmtId="0" fontId="16" fillId="36" borderId="19" xfId="0" applyFont="1" applyFill="1" applyBorder="1" applyAlignment="1" applyProtection="1">
      <alignment horizontal="left" vertical="center" indent="1"/>
      <protection/>
    </xf>
    <xf numFmtId="179" fontId="16" fillId="36" borderId="24" xfId="62" applyNumberFormat="1" applyFont="1" applyFill="1" applyBorder="1" applyAlignment="1" applyProtection="1">
      <alignment vertical="center"/>
      <protection/>
    </xf>
    <xf numFmtId="0" fontId="13" fillId="38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right" vertical="center"/>
      <protection/>
    </xf>
    <xf numFmtId="0" fontId="16" fillId="38" borderId="24" xfId="0" applyFont="1" applyFill="1" applyBorder="1" applyAlignment="1" applyProtection="1">
      <alignment horizontal="center" vertical="center"/>
      <protection/>
    </xf>
    <xf numFmtId="49" fontId="16" fillId="38" borderId="18" xfId="0" applyNumberFormat="1" applyFont="1" applyFill="1" applyBorder="1" applyAlignment="1" applyProtection="1">
      <alignment horizontal="center" vertical="center" wrapText="1"/>
      <protection/>
    </xf>
    <xf numFmtId="49" fontId="16" fillId="38" borderId="19" xfId="0" applyNumberFormat="1" applyFont="1" applyFill="1" applyBorder="1" applyAlignment="1" applyProtection="1">
      <alignment horizontal="center" vertical="center" wrapText="1"/>
      <protection/>
    </xf>
    <xf numFmtId="49" fontId="16" fillId="38" borderId="10" xfId="0" applyNumberFormat="1" applyFont="1" applyFill="1" applyBorder="1" applyAlignment="1" applyProtection="1">
      <alignment vertical="center"/>
      <protection/>
    </xf>
    <xf numFmtId="179" fontId="16" fillId="38" borderId="19" xfId="62" applyNumberFormat="1" applyFont="1" applyFill="1" applyBorder="1" applyAlignment="1" applyProtection="1">
      <alignment vertical="center"/>
      <protection/>
    </xf>
    <xf numFmtId="49" fontId="16" fillId="38" borderId="0" xfId="0" applyNumberFormat="1" applyFont="1" applyFill="1" applyBorder="1" applyAlignment="1" applyProtection="1">
      <alignment horizontal="left" vertical="center" indent="1"/>
      <protection/>
    </xf>
    <xf numFmtId="49" fontId="13" fillId="38" borderId="0" xfId="0" applyNumberFormat="1" applyFont="1" applyFill="1" applyBorder="1" applyAlignment="1" applyProtection="1">
      <alignment horizontal="left" vertical="center" indent="2"/>
      <protection/>
    </xf>
    <xf numFmtId="0" fontId="13" fillId="38" borderId="0" xfId="0" applyFont="1" applyFill="1" applyAlignment="1" applyProtection="1">
      <alignment horizontal="left" vertical="center" indent="2"/>
      <protection/>
    </xf>
    <xf numFmtId="49" fontId="16" fillId="38" borderId="10" xfId="0" applyNumberFormat="1" applyFont="1" applyFill="1" applyBorder="1" applyAlignment="1" applyProtection="1">
      <alignment horizontal="left" vertical="center"/>
      <protection/>
    </xf>
    <xf numFmtId="49" fontId="13" fillId="38" borderId="0" xfId="0" applyNumberFormat="1" applyFont="1" applyFill="1" applyBorder="1" applyAlignment="1" applyProtection="1">
      <alignment horizontal="left" vertical="center"/>
      <protection/>
    </xf>
    <xf numFmtId="0" fontId="13" fillId="38" borderId="0" xfId="0" applyFont="1" applyFill="1" applyAlignment="1" applyProtection="1">
      <alignment horizontal="left" vertical="center" indent="1"/>
      <protection/>
    </xf>
    <xf numFmtId="49" fontId="13" fillId="38" borderId="0" xfId="0" applyNumberFormat="1" applyFont="1" applyFill="1" applyBorder="1" applyAlignment="1" applyProtection="1">
      <alignment horizontal="left" vertical="center" indent="1"/>
      <protection/>
    </xf>
    <xf numFmtId="179" fontId="13" fillId="36" borderId="12" xfId="62" applyNumberFormat="1" applyFont="1" applyFill="1" applyBorder="1" applyAlignment="1" applyProtection="1">
      <alignment horizontal="left" vertical="center" wrapText="1" indent="1"/>
      <protection/>
    </xf>
    <xf numFmtId="0" fontId="0" fillId="36" borderId="0" xfId="0" applyFont="1" applyFill="1" applyAlignment="1" applyProtection="1">
      <alignment vertical="center"/>
      <protection/>
    </xf>
    <xf numFmtId="179" fontId="0" fillId="36" borderId="0" xfId="62" applyNumberFormat="1" applyFont="1" applyFill="1" applyAlignment="1" applyProtection="1">
      <alignment vertical="center"/>
      <protection/>
    </xf>
    <xf numFmtId="0" fontId="11" fillId="36" borderId="10" xfId="0" applyFont="1" applyFill="1" applyBorder="1" applyAlignment="1" applyProtection="1">
      <alignment vertical="center"/>
      <protection/>
    </xf>
    <xf numFmtId="10" fontId="11" fillId="36" borderId="1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Alignment="1" applyProtection="1">
      <alignment horizontal="right"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16" fillId="36" borderId="11" xfId="0" applyNumberFormat="1" applyFont="1" applyFill="1" applyBorder="1" applyAlignment="1" applyProtection="1">
      <alignment horizontal="center" vertical="center" wrapText="1"/>
      <protection/>
    </xf>
    <xf numFmtId="0" fontId="16" fillId="36" borderId="17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 indent="1"/>
      <protection/>
    </xf>
    <xf numFmtId="10" fontId="11" fillId="36" borderId="10" xfId="0" applyNumberFormat="1" applyFont="1" applyFill="1" applyBorder="1" applyAlignment="1" applyProtection="1">
      <alignment horizontal="center" vertical="center"/>
      <protection/>
    </xf>
    <xf numFmtId="0" fontId="16" fillId="36" borderId="25" xfId="0" applyFont="1" applyFill="1" applyBorder="1" applyAlignment="1" applyProtection="1">
      <alignment horizontal="center" vertical="center" wrapText="1"/>
      <protection/>
    </xf>
    <xf numFmtId="0" fontId="13" fillId="0" borderId="26" xfId="62" applyNumberFormat="1" applyFont="1" applyFill="1" applyBorder="1" applyAlignment="1" applyProtection="1">
      <alignment horizontal="right" vertical="center"/>
      <protection/>
    </xf>
    <xf numFmtId="179" fontId="13" fillId="0" borderId="0" xfId="62" applyNumberFormat="1" applyFont="1" applyFill="1" applyBorder="1" applyAlignment="1" applyProtection="1">
      <alignment horizontal="right" vertical="center" indent="2"/>
      <protection locked="0"/>
    </xf>
    <xf numFmtId="179" fontId="13" fillId="0" borderId="13" xfId="62" applyNumberFormat="1" applyFont="1" applyFill="1" applyBorder="1" applyAlignment="1" applyProtection="1">
      <alignment horizontal="right" vertical="center" indent="2"/>
      <protection locked="0"/>
    </xf>
    <xf numFmtId="49" fontId="16" fillId="36" borderId="19" xfId="0" applyNumberFormat="1" applyFont="1" applyFill="1" applyBorder="1" applyAlignment="1" applyProtection="1">
      <alignment horizontal="center" vertical="center" wrapText="1"/>
      <protection/>
    </xf>
    <xf numFmtId="179" fontId="13" fillId="36" borderId="26" xfId="62" applyNumberFormat="1" applyFont="1" applyFill="1" applyBorder="1" applyAlignment="1" applyProtection="1">
      <alignment horizontal="left" vertical="center" indent="2"/>
      <protection/>
    </xf>
    <xf numFmtId="179" fontId="16" fillId="36" borderId="18" xfId="62" applyNumberFormat="1" applyFont="1" applyFill="1" applyBorder="1" applyAlignment="1" applyProtection="1">
      <alignment horizontal="left" vertical="center" indent="1"/>
      <protection/>
    </xf>
    <xf numFmtId="179" fontId="16" fillId="36" borderId="18" xfId="62" applyNumberFormat="1" applyFont="1" applyFill="1" applyBorder="1" applyAlignment="1" applyProtection="1">
      <alignment vertical="center"/>
      <protection/>
    </xf>
    <xf numFmtId="10" fontId="16" fillId="36" borderId="18" xfId="51" applyNumberFormat="1" applyFont="1" applyFill="1" applyBorder="1" applyAlignment="1" applyProtection="1">
      <alignment vertical="center"/>
      <protection/>
    </xf>
    <xf numFmtId="0" fontId="13" fillId="0" borderId="0" xfId="62" applyNumberFormat="1" applyFont="1" applyFill="1" applyBorder="1" applyAlignment="1" applyProtection="1">
      <alignment horizontal="left" vertical="center"/>
      <protection/>
    </xf>
    <xf numFmtId="0" fontId="13" fillId="0" borderId="0" xfId="62" applyNumberFormat="1" applyFont="1" applyFill="1" applyAlignment="1" applyProtection="1">
      <alignment horizontal="left" vertical="center"/>
      <protection/>
    </xf>
    <xf numFmtId="179" fontId="13" fillId="0" borderId="13" xfId="62" applyNumberFormat="1" applyFont="1" applyFill="1" applyBorder="1" applyAlignment="1" applyProtection="1">
      <alignment horizontal="left" vertical="center" indent="2"/>
      <protection/>
    </xf>
    <xf numFmtId="0" fontId="11" fillId="40" borderId="12" xfId="0" applyFont="1" applyFill="1" applyBorder="1" applyAlignment="1">
      <alignment horizontal="center" wrapText="1"/>
    </xf>
    <xf numFmtId="0" fontId="23" fillId="40" borderId="0" xfId="0" applyFont="1" applyFill="1" applyBorder="1" applyAlignment="1">
      <alignment horizontal="center" wrapText="1"/>
    </xf>
    <xf numFmtId="4" fontId="16" fillId="0" borderId="0" xfId="62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left" vertical="center" wrapText="1"/>
      <protection/>
    </xf>
    <xf numFmtId="4" fontId="13" fillId="0" borderId="26" xfId="62" applyNumberFormat="1" applyFont="1" applyFill="1" applyBorder="1" applyAlignment="1" applyProtection="1">
      <alignment horizontal="right" vertical="center"/>
      <protection/>
    </xf>
    <xf numFmtId="4" fontId="13" fillId="0" borderId="0" xfId="62" applyNumberFormat="1" applyFont="1" applyFill="1" applyBorder="1" applyAlignment="1" applyProtection="1">
      <alignment horizontal="center" vertical="center"/>
      <protection/>
    </xf>
    <xf numFmtId="3" fontId="16" fillId="0" borderId="0" xfId="62" applyNumberFormat="1" applyFont="1" applyFill="1" applyBorder="1" applyAlignment="1" applyProtection="1">
      <alignment horizontal="right" vertical="center" indent="1"/>
      <protection/>
    </xf>
    <xf numFmtId="3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79" fontId="59" fillId="0" borderId="0" xfId="62" applyNumberFormat="1" applyFont="1" applyFill="1" applyBorder="1" applyAlignment="1" applyProtection="1">
      <alignment horizontal="left" vertical="center" wrapText="1" indent="1"/>
      <protection locked="0"/>
    </xf>
    <xf numFmtId="179" fontId="59" fillId="0" borderId="12" xfId="62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Alignment="1">
      <alignment/>
    </xf>
    <xf numFmtId="38" fontId="16" fillId="36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04" fontId="16" fillId="36" borderId="0" xfId="0" applyNumberFormat="1" applyFont="1" applyFill="1" applyAlignment="1" applyProtection="1">
      <alignment horizontal="center" vertical="center" wrapText="1"/>
      <protection/>
    </xf>
    <xf numFmtId="0" fontId="16" fillId="38" borderId="0" xfId="0" applyFont="1" applyFill="1" applyAlignment="1" applyProtection="1">
      <alignment horizontal="center" vertical="center" wrapText="1"/>
      <protection/>
    </xf>
    <xf numFmtId="179" fontId="16" fillId="36" borderId="10" xfId="62" applyNumberFormat="1" applyFont="1" applyFill="1" applyBorder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horizontal="center" vertical="center" wrapText="1"/>
      <protection/>
    </xf>
    <xf numFmtId="0" fontId="23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 wrapText="1"/>
    </xf>
    <xf numFmtId="0" fontId="23" fillId="40" borderId="0" xfId="0" applyFont="1" applyFill="1" applyAlignment="1">
      <alignment horizontal="center" wrapText="1"/>
    </xf>
    <xf numFmtId="0" fontId="11" fillId="40" borderId="0" xfId="0" applyFont="1" applyFill="1" applyAlignment="1">
      <alignment horizontal="center" wrapText="1"/>
    </xf>
    <xf numFmtId="0" fontId="16" fillId="36" borderId="11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40" borderId="0" xfId="0" applyFont="1" applyFill="1" applyAlignment="1">
      <alignment horizontal="center"/>
    </xf>
    <xf numFmtId="0" fontId="11" fillId="40" borderId="0" xfId="0" applyFont="1" applyFill="1" applyAlignment="1">
      <alignment horizontal="center"/>
    </xf>
    <xf numFmtId="0" fontId="16" fillId="36" borderId="0" xfId="0" applyNumberFormat="1" applyFont="1" applyFill="1" applyAlignment="1" applyProtection="1">
      <alignment horizontal="center" vertical="center"/>
      <protection/>
    </xf>
    <xf numFmtId="0" fontId="23" fillId="40" borderId="12" xfId="0" applyFont="1" applyFill="1" applyBorder="1" applyAlignment="1">
      <alignment horizontal="center" wrapText="1"/>
    </xf>
    <xf numFmtId="0" fontId="11" fillId="40" borderId="12" xfId="0" applyFont="1" applyFill="1" applyBorder="1" applyAlignment="1">
      <alignment horizontal="center" wrapText="1"/>
    </xf>
    <xf numFmtId="49" fontId="16" fillId="36" borderId="11" xfId="0" applyNumberFormat="1" applyFont="1" applyFill="1" applyBorder="1" applyAlignment="1" applyProtection="1">
      <alignment horizontal="center" vertical="center" wrapText="1"/>
      <protection/>
    </xf>
    <xf numFmtId="0" fontId="16" fillId="36" borderId="17" xfId="0" applyFont="1" applyFill="1" applyBorder="1" applyAlignment="1" applyProtection="1">
      <alignment horizontal="center" vertical="center" wrapText="1"/>
      <protection/>
    </xf>
    <xf numFmtId="0" fontId="16" fillId="36" borderId="19" xfId="0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 applyProtection="1">
      <alignment horizontal="center" vertical="center" wrapText="1"/>
      <protection/>
    </xf>
    <xf numFmtId="0" fontId="16" fillId="36" borderId="24" xfId="0" applyFont="1" applyFill="1" applyBorder="1" applyAlignment="1" applyProtection="1">
      <alignment horizontal="center" vertical="center" wrapText="1"/>
      <protection/>
    </xf>
    <xf numFmtId="0" fontId="16" fillId="36" borderId="10" xfId="62" applyNumberFormat="1" applyFont="1" applyFill="1" applyBorder="1" applyAlignment="1" applyProtection="1">
      <alignment horizontal="center" vertical="center"/>
      <protection/>
    </xf>
    <xf numFmtId="0" fontId="16" fillId="36" borderId="24" xfId="62" applyNumberFormat="1" applyFont="1" applyFill="1" applyBorder="1" applyAlignment="1" applyProtection="1">
      <alignment horizontal="center" vertical="center"/>
      <protection/>
    </xf>
    <xf numFmtId="49" fontId="16" fillId="36" borderId="0" xfId="0" applyNumberFormat="1" applyFont="1" applyFill="1" applyAlignment="1" applyProtection="1">
      <alignment horizontal="center" vertical="center" wrapText="1"/>
      <protection/>
    </xf>
    <xf numFmtId="0" fontId="16" fillId="36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40" borderId="0" xfId="0" applyFill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4"/>
  <sheetViews>
    <sheetView tabSelected="1" zoomScalePageLayoutView="0" workbookViewId="0" topLeftCell="A7">
      <selection activeCell="E24" sqref="E24"/>
    </sheetView>
  </sheetViews>
  <sheetFormatPr defaultColWidth="8.8515625" defaultRowHeight="12.75"/>
  <cols>
    <col min="1" max="1" width="50.140625" style="103" customWidth="1"/>
    <col min="2" max="2" width="10.00390625" style="103" hidden="1" customWidth="1"/>
    <col min="3" max="3" width="18.00390625" style="103" customWidth="1"/>
    <col min="4" max="4" width="16.8515625" style="103" customWidth="1"/>
    <col min="5" max="5" width="16.421875" style="103" customWidth="1"/>
    <col min="6" max="6" width="15.421875" style="103" customWidth="1"/>
    <col min="7" max="16384" width="8.8515625" style="103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6" ht="40.5" customHeight="1">
      <c r="A7" s="215" t="s">
        <v>243</v>
      </c>
      <c r="B7" s="205"/>
      <c r="C7" s="205"/>
      <c r="D7" s="205"/>
      <c r="E7" s="205"/>
      <c r="F7" s="205"/>
    </row>
    <row r="8" spans="1:6" ht="15">
      <c r="A8" s="217"/>
      <c r="B8" s="217"/>
      <c r="C8" s="217"/>
      <c r="D8" s="217"/>
      <c r="E8" s="217"/>
      <c r="F8" s="217"/>
    </row>
    <row r="9" spans="1:6" ht="15">
      <c r="A9" s="218" t="s">
        <v>196</v>
      </c>
      <c r="B9" s="219"/>
      <c r="C9" s="219"/>
      <c r="D9" s="219"/>
      <c r="E9" s="219"/>
      <c r="F9" s="219"/>
    </row>
    <row r="10" spans="1:6" ht="21" customHeight="1">
      <c r="A10" s="218" t="s">
        <v>197</v>
      </c>
      <c r="B10" s="219"/>
      <c r="C10" s="219"/>
      <c r="D10" s="219"/>
      <c r="E10" s="219"/>
      <c r="F10" s="219"/>
    </row>
    <row r="11" spans="1:6" ht="15.75" thickBot="1">
      <c r="A11" s="220"/>
      <c r="B11" s="221"/>
      <c r="C11" s="221"/>
      <c r="D11" s="221"/>
      <c r="E11" s="221"/>
      <c r="F11" s="221"/>
    </row>
    <row r="12" spans="1:6" ht="39.75" customHeight="1" thickTop="1">
      <c r="A12" s="206" t="s">
        <v>1</v>
      </c>
      <c r="B12" s="207">
        <v>1999</v>
      </c>
      <c r="C12" s="207">
        <v>2014</v>
      </c>
      <c r="D12" s="207">
        <f>C12+1</f>
        <v>2015</v>
      </c>
      <c r="E12" s="207">
        <f>D12+1</f>
        <v>2016</v>
      </c>
      <c r="F12" s="208">
        <f>E12+1</f>
        <v>2017</v>
      </c>
    </row>
    <row r="13" spans="1:6" ht="18.75" customHeight="1" hidden="1">
      <c r="A13" s="209" t="s">
        <v>198</v>
      </c>
      <c r="B13" s="210">
        <v>0</v>
      </c>
      <c r="C13" s="210"/>
      <c r="D13" s="210">
        <v>0.04</v>
      </c>
      <c r="E13" s="210">
        <v>0.04</v>
      </c>
      <c r="F13" s="210">
        <v>0.04</v>
      </c>
    </row>
    <row r="14" spans="1:6" ht="15">
      <c r="A14" s="216" t="s">
        <v>199</v>
      </c>
      <c r="B14" s="210">
        <v>0</v>
      </c>
      <c r="C14" s="214">
        <v>0.0561</v>
      </c>
      <c r="D14" s="214">
        <v>0.0525</v>
      </c>
      <c r="E14" s="214">
        <v>0.0512</v>
      </c>
      <c r="F14" s="214">
        <v>0.0507</v>
      </c>
    </row>
    <row r="15" spans="1:6" ht="15">
      <c r="A15" s="216" t="s">
        <v>200</v>
      </c>
      <c r="B15" s="210">
        <v>0</v>
      </c>
      <c r="C15" s="214">
        <v>0.0362</v>
      </c>
      <c r="D15" s="214">
        <v>0.0374</v>
      </c>
      <c r="E15" s="214">
        <v>0.0377</v>
      </c>
      <c r="F15" s="214">
        <v>0.0404</v>
      </c>
    </row>
    <row r="16" spans="1:6" ht="15">
      <c r="A16" s="211" t="s">
        <v>201</v>
      </c>
      <c r="B16" s="210">
        <v>0</v>
      </c>
      <c r="C16" s="214">
        <v>0.052</v>
      </c>
      <c r="D16" s="214">
        <v>0.054</v>
      </c>
      <c r="E16" s="214">
        <v>0.055</v>
      </c>
      <c r="F16" s="214">
        <v>0.06</v>
      </c>
    </row>
    <row r="17" spans="1:6" ht="15">
      <c r="A17" s="212" t="s">
        <v>202</v>
      </c>
      <c r="B17" s="210">
        <v>0</v>
      </c>
      <c r="C17" s="214"/>
      <c r="D17" s="214"/>
      <c r="E17" s="214"/>
      <c r="F17" s="214"/>
    </row>
    <row r="18" spans="1:6" ht="15">
      <c r="A18" s="212" t="s">
        <v>203</v>
      </c>
      <c r="B18" s="210">
        <v>0</v>
      </c>
      <c r="C18" s="214">
        <v>0.03</v>
      </c>
      <c r="D18" s="214">
        <v>0.032</v>
      </c>
      <c r="E18" s="214">
        <v>0.036</v>
      </c>
      <c r="F18" s="214">
        <v>0.04</v>
      </c>
    </row>
    <row r="19" spans="1:6" ht="15">
      <c r="A19" s="212" t="s">
        <v>204</v>
      </c>
      <c r="B19" s="210"/>
      <c r="C19" s="214">
        <v>0.085</v>
      </c>
      <c r="D19" s="214">
        <v>0.094</v>
      </c>
      <c r="E19" s="214">
        <v>0.1</v>
      </c>
      <c r="F19" s="214">
        <v>0.102</v>
      </c>
    </row>
    <row r="20" spans="1:6" ht="15">
      <c r="A20" s="216" t="s">
        <v>205</v>
      </c>
      <c r="B20" s="210">
        <v>0</v>
      </c>
      <c r="C20" s="214"/>
      <c r="D20" s="214"/>
      <c r="E20" s="214"/>
      <c r="F20" s="214"/>
    </row>
    <row r="21" spans="1:6" ht="15">
      <c r="A21" s="213" t="s">
        <v>206</v>
      </c>
      <c r="B21" s="210">
        <v>0</v>
      </c>
      <c r="C21" s="214"/>
      <c r="D21" s="214"/>
      <c r="E21" s="214"/>
      <c r="F21" s="214"/>
    </row>
    <row r="23" spans="1:4" ht="15.75">
      <c r="A23" s="282" t="s">
        <v>259</v>
      </c>
      <c r="B23" s="282"/>
      <c r="C23" s="282"/>
      <c r="D23" s="282"/>
    </row>
    <row r="24" ht="58.5" customHeight="1">
      <c r="A24" s="104"/>
    </row>
  </sheetData>
  <sheetProtection/>
  <mergeCells count="1">
    <mergeCell ref="A23:D2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G42"/>
  <sheetViews>
    <sheetView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7.28125" style="109" customWidth="1"/>
    <col min="2" max="6" width="14.7109375" style="109" customWidth="1"/>
    <col min="7" max="16384" width="9.140625" style="109" customWidth="1"/>
  </cols>
  <sheetData>
    <row r="1" spans="1:6" s="110" customFormat="1" ht="12.75" customHeight="1">
      <c r="A1" s="313" t="str">
        <f>+Tab01!A1</f>
        <v>MUNICÍPIO DE:</v>
      </c>
      <c r="B1" s="314"/>
      <c r="C1" s="314"/>
      <c r="D1" s="314"/>
      <c r="E1" s="314"/>
      <c r="F1" s="314"/>
    </row>
    <row r="2" spans="1:6" ht="12.75" customHeight="1">
      <c r="A2" s="313" t="s">
        <v>251</v>
      </c>
      <c r="B2" s="313"/>
      <c r="C2" s="313"/>
      <c r="D2" s="313"/>
      <c r="E2" s="313"/>
      <c r="F2" s="313"/>
    </row>
    <row r="3" spans="1:6" ht="12.75" customHeight="1">
      <c r="A3" s="291" t="s">
        <v>258</v>
      </c>
      <c r="B3" s="315"/>
      <c r="C3" s="315"/>
      <c r="D3" s="315"/>
      <c r="E3" s="315"/>
      <c r="F3" s="315"/>
    </row>
    <row r="4" spans="1:6" ht="12.75" customHeight="1">
      <c r="A4" s="193"/>
      <c r="B4" s="193"/>
      <c r="C4" s="193"/>
      <c r="D4" s="193"/>
      <c r="E4" s="193"/>
      <c r="F4" s="194" t="str">
        <f>+Tab04!F4</f>
        <v>R$ mil</v>
      </c>
    </row>
    <row r="5" spans="1:6" ht="12.75" customHeight="1">
      <c r="A5" s="157" t="s">
        <v>78</v>
      </c>
      <c r="B5" s="157">
        <f>+C5-1</f>
        <v>2013</v>
      </c>
      <c r="C5" s="157">
        <f>+D5-1</f>
        <v>2014</v>
      </c>
      <c r="D5" s="157">
        <f>+E5-1</f>
        <v>2015</v>
      </c>
      <c r="E5" s="195">
        <f>+F5-1</f>
        <v>2016</v>
      </c>
      <c r="F5" s="195">
        <f>+Tab04!F6</f>
        <v>2017</v>
      </c>
    </row>
    <row r="6" spans="1:6" ht="12.75" customHeight="1">
      <c r="A6" s="144" t="s">
        <v>216</v>
      </c>
      <c r="B6" s="196">
        <f>Tab01!D6</f>
        <v>14270552.31</v>
      </c>
      <c r="C6" s="196">
        <f>Tab01!E6</f>
        <v>15121592.061894482</v>
      </c>
      <c r="D6" s="196">
        <f>Tab01!F6</f>
        <v>17384573.74215015</v>
      </c>
      <c r="E6" s="196">
        <f>Tab01!G6</f>
        <v>20057898.882259622</v>
      </c>
      <c r="F6" s="196">
        <f>Tab01!H6</f>
        <v>23169184.10871753</v>
      </c>
    </row>
    <row r="7" spans="1:6" ht="12.75" customHeight="1">
      <c r="A7" s="197"/>
      <c r="B7" s="198"/>
      <c r="C7" s="198"/>
      <c r="D7" s="198"/>
      <c r="E7" s="198"/>
      <c r="F7" s="198"/>
    </row>
    <row r="8" spans="1:6" ht="12.75" customHeight="1">
      <c r="A8" s="197"/>
      <c r="B8" s="198"/>
      <c r="C8" s="198"/>
      <c r="D8" s="198"/>
      <c r="E8" s="198"/>
      <c r="F8" s="198"/>
    </row>
    <row r="9" spans="1:6" ht="12.75" customHeight="1">
      <c r="A9" s="135" t="s">
        <v>217</v>
      </c>
      <c r="B9" s="199">
        <f>+B10+B13</f>
        <v>719307.5514</v>
      </c>
      <c r="C9" s="199">
        <f>+C10+C13</f>
        <v>760165.3227065748</v>
      </c>
      <c r="D9" s="199">
        <f>+D10+D13</f>
        <v>814764.983118732</v>
      </c>
      <c r="E9" s="199">
        <f>+E10+E13</f>
        <v>874313.299899525</v>
      </c>
      <c r="F9" s="199">
        <f>+F10+F13</f>
        <v>939584.4817357044</v>
      </c>
    </row>
    <row r="10" spans="1:6" ht="12.75" customHeight="1">
      <c r="A10" s="174" t="s">
        <v>99</v>
      </c>
      <c r="B10" s="200">
        <f>SUM(B11:B12)</f>
        <v>300000</v>
      </c>
      <c r="C10" s="200">
        <f>SUM(C11:C12)</f>
        <v>316830</v>
      </c>
      <c r="D10" s="200">
        <f>SUM(D11:D12)</f>
        <v>333463.575</v>
      </c>
      <c r="E10" s="200">
        <f>SUM(E11:E12)</f>
        <v>350536.91004</v>
      </c>
      <c r="F10" s="200">
        <f>SUM(F11:F12)</f>
        <v>368309.13137902797</v>
      </c>
    </row>
    <row r="11" spans="1:6" ht="12.75" customHeight="1">
      <c r="A11" s="197" t="s">
        <v>128</v>
      </c>
      <c r="B11" s="108">
        <v>0</v>
      </c>
      <c r="C11" s="198">
        <f>B11*(1+Parâmetros!C14)</f>
        <v>0</v>
      </c>
      <c r="D11" s="198">
        <f>C11*(1+Parâmetros!D14)</f>
        <v>0</v>
      </c>
      <c r="E11" s="198">
        <f>D11*(1+Parâmetros!E14)</f>
        <v>0</v>
      </c>
      <c r="F11" s="198">
        <f>E11*(1+Parâmetros!F14)</f>
        <v>0</v>
      </c>
    </row>
    <row r="12" spans="1:6" ht="12.75" customHeight="1">
      <c r="A12" s="197" t="s">
        <v>101</v>
      </c>
      <c r="B12" s="108">
        <v>300000</v>
      </c>
      <c r="C12" s="198">
        <f>B12*(1+Parâmetros!C14)</f>
        <v>316830</v>
      </c>
      <c r="D12" s="198">
        <f>C12*(1+Parâmetros!D14)</f>
        <v>333463.575</v>
      </c>
      <c r="E12" s="198">
        <f>D12*(1+Parâmetros!E14)</f>
        <v>350536.91004</v>
      </c>
      <c r="F12" s="198">
        <f>E12*(1+Parâmetros!F14)</f>
        <v>368309.13137902797</v>
      </c>
    </row>
    <row r="13" spans="1:6" ht="12.75" customHeight="1">
      <c r="A13" s="135" t="s">
        <v>146</v>
      </c>
      <c r="B13" s="199">
        <f>SUM(B14:B17)</f>
        <v>419307.5514</v>
      </c>
      <c r="C13" s="199">
        <f>SUM(C14:C17)</f>
        <v>443335.3227065748</v>
      </c>
      <c r="D13" s="199">
        <f>SUM(D14:D17)</f>
        <v>481301.40811873204</v>
      </c>
      <c r="E13" s="199">
        <f>SUM(E14:E17)</f>
        <v>523776.38985952496</v>
      </c>
      <c r="F13" s="199">
        <f>SUM(F14:F17)</f>
        <v>571275.3503566764</v>
      </c>
    </row>
    <row r="14" spans="1:6" ht="12.75" customHeight="1">
      <c r="A14" s="197" t="s">
        <v>168</v>
      </c>
      <c r="B14" s="108">
        <v>280000</v>
      </c>
      <c r="C14" s="198">
        <f>B14*(1+Parâmetros!C14)</f>
        <v>295708</v>
      </c>
      <c r="D14" s="198">
        <f>C14*(1+Parâmetros!D14)</f>
        <v>311232.67</v>
      </c>
      <c r="E14" s="198">
        <f>D14*(1+Parâmetros!E14)</f>
        <v>327167.78270399995</v>
      </c>
      <c r="F14" s="198">
        <f>E14*(1+Parâmetros!F14)</f>
        <v>343755.18928709277</v>
      </c>
    </row>
    <row r="15" spans="1:6" ht="12.75" customHeight="1">
      <c r="A15" s="197" t="s">
        <v>221</v>
      </c>
      <c r="B15" s="198">
        <f>(Tab01!D8+Tab01!D83)*1%</f>
        <v>139307.5514</v>
      </c>
      <c r="C15" s="198">
        <f>(Tab01!E8+Tab01!E83)*1%</f>
        <v>147627.3227065748</v>
      </c>
      <c r="D15" s="198">
        <f>(Tab01!F8+Tab01!F83)*1%</f>
        <v>170068.7381187321</v>
      </c>
      <c r="E15" s="198">
        <f>(Tab01!G8+Tab01!G83)*1%</f>
        <v>196608.607155525</v>
      </c>
      <c r="F15" s="198">
        <f>(Tab01!H8+Tab01!H83)*1%</f>
        <v>227520.1610695836</v>
      </c>
    </row>
    <row r="16" spans="1:6" ht="12.75" customHeight="1">
      <c r="A16" s="197" t="s">
        <v>222</v>
      </c>
      <c r="B16" s="198">
        <f>Tab05!D8</f>
        <v>0</v>
      </c>
      <c r="C16" s="198">
        <f>Tab05!E8</f>
        <v>0</v>
      </c>
      <c r="D16" s="198">
        <f>Tab05!F8</f>
        <v>0</v>
      </c>
      <c r="E16" s="198">
        <f>Tab05!G8</f>
        <v>0</v>
      </c>
      <c r="F16" s="198">
        <f>Tab05!H8</f>
        <v>0</v>
      </c>
    </row>
    <row r="17" spans="1:6" ht="12.75" customHeight="1">
      <c r="A17" s="197" t="s">
        <v>147</v>
      </c>
      <c r="B17" s="108">
        <v>0</v>
      </c>
      <c r="C17" s="198">
        <f>B17*(1+Parâmetros!C14)</f>
        <v>0</v>
      </c>
      <c r="D17" s="198">
        <f>C17*(1+Parâmetros!D14)</f>
        <v>0</v>
      </c>
      <c r="E17" s="198">
        <f>D17*(1+Parâmetros!E14)</f>
        <v>0</v>
      </c>
      <c r="F17" s="198">
        <f>E17*(1+Parâmetros!F14)</f>
        <v>0</v>
      </c>
    </row>
    <row r="18" spans="1:6" ht="12.75" customHeight="1">
      <c r="A18" s="193"/>
      <c r="B18" s="201"/>
      <c r="C18" s="201"/>
      <c r="D18" s="201"/>
      <c r="E18" s="201"/>
      <c r="F18" s="201"/>
    </row>
    <row r="19" spans="1:6" ht="12.75" customHeight="1">
      <c r="A19" s="144" t="s">
        <v>235</v>
      </c>
      <c r="B19" s="199">
        <f>+B6-B9</f>
        <v>13551244.7586</v>
      </c>
      <c r="C19" s="199">
        <f>+C6-C9</f>
        <v>14361426.739187907</v>
      </c>
      <c r="D19" s="199">
        <f>+D6-D9</f>
        <v>16569808.759031419</v>
      </c>
      <c r="E19" s="199">
        <f>+E6-E9</f>
        <v>19183585.582360096</v>
      </c>
      <c r="F19" s="199">
        <f>+F6-F9</f>
        <v>22229599.62698183</v>
      </c>
    </row>
    <row r="20" spans="1:6" ht="12.75" customHeight="1">
      <c r="A20" s="174" t="s">
        <v>232</v>
      </c>
      <c r="B20" s="200">
        <f>B21+B22+B23+B24</f>
        <v>9367834.07</v>
      </c>
      <c r="C20" s="200">
        <f>C21+C22+C23+C24</f>
        <v>11004561.112319527</v>
      </c>
      <c r="D20" s="200">
        <f>D21+D22+D23+D24</f>
        <v>12124726.61353409</v>
      </c>
      <c r="E20" s="200">
        <f>E21+E22+E23+E24</f>
        <v>13358298.886781722</v>
      </c>
      <c r="F20" s="200">
        <f>F21+F22+F23+F24</f>
        <v>14681525.219534487</v>
      </c>
    </row>
    <row r="21" spans="1:6" ht="12.75" customHeight="1">
      <c r="A21" s="148" t="s">
        <v>218</v>
      </c>
      <c r="B21" s="198">
        <f>Tab03!D25</f>
        <v>2452246.75</v>
      </c>
      <c r="C21" s="198">
        <f>Tab03!E25</f>
        <v>2659921.562314072</v>
      </c>
      <c r="D21" s="198">
        <f>Tab03!F25</f>
        <v>2880173.864149087</v>
      </c>
      <c r="E21" s="198">
        <f>Tab03!G25</f>
        <v>3118601.7135751415</v>
      </c>
      <c r="F21" s="198">
        <f>Tab03!H25</f>
        <v>3386712.6909846696</v>
      </c>
    </row>
    <row r="22" spans="1:6" ht="12.75" customHeight="1">
      <c r="A22" s="148" t="s">
        <v>219</v>
      </c>
      <c r="B22" s="198">
        <f>Tab02!D30</f>
        <v>2937965.1100000003</v>
      </c>
      <c r="C22" s="198">
        <f>Tab02!E30</f>
        <v>3243848.6518934434</v>
      </c>
      <c r="D22" s="198">
        <f>Tab02!F30</f>
        <v>3565439.957188578</v>
      </c>
      <c r="E22" s="198">
        <f>Tab02!G30</f>
        <v>3920509.6968902387</v>
      </c>
      <c r="F22" s="198">
        <f>Tab02!H30</f>
        <v>4327205.359307103</v>
      </c>
    </row>
    <row r="23" spans="1:6" ht="12.75" customHeight="1">
      <c r="A23" s="148" t="s">
        <v>220</v>
      </c>
      <c r="B23" s="198">
        <f>Tab04!B33</f>
        <v>893000</v>
      </c>
      <c r="C23" s="198">
        <f>Tab04!C33</f>
        <v>977237.42226</v>
      </c>
      <c r="D23" s="198">
        <f>Tab04!D33</f>
        <v>1067009.8721997815</v>
      </c>
      <c r="E23" s="198">
        <f>Tab04!E33</f>
        <v>1163926.6349740569</v>
      </c>
      <c r="F23" s="198">
        <f>Tab04!F33</f>
        <v>1272344.399068078</v>
      </c>
    </row>
    <row r="24" spans="1:6" ht="12.75" customHeight="1">
      <c r="A24" s="148" t="s">
        <v>231</v>
      </c>
      <c r="B24" s="198">
        <f>Tab05!D7-Tab03!D22-Tab04!B34-Tab02!D27</f>
        <v>3084622.21</v>
      </c>
      <c r="C24" s="198">
        <f>Tab05A!B11</f>
        <v>4123553.4758520117</v>
      </c>
      <c r="D24" s="198">
        <f>Tab05A!C11</f>
        <v>4612102.9199966425</v>
      </c>
      <c r="E24" s="198">
        <f>Tab05A!D11</f>
        <v>5155260.841342286</v>
      </c>
      <c r="F24" s="198">
        <f>Tab05A!E11</f>
        <v>5695262.770174635</v>
      </c>
    </row>
    <row r="25" spans="1:6" ht="12.75" customHeight="1">
      <c r="A25" s="135" t="s">
        <v>233</v>
      </c>
      <c r="B25" s="199">
        <f>SUM(B26:B33)</f>
        <v>1129753.7199999997</v>
      </c>
      <c r="C25" s="199">
        <f>SUM(C26:C33)</f>
        <v>1272125.2832506748</v>
      </c>
      <c r="D25" s="199">
        <f>SUM(D26:D33)</f>
        <v>1438669.4548887087</v>
      </c>
      <c r="E25" s="199">
        <f>SUM(E26:E33)</f>
        <v>1634374.554707399</v>
      </c>
      <c r="F25" s="199">
        <f>SUM(F26:F33)</f>
        <v>1861114.6770241957</v>
      </c>
    </row>
    <row r="26" spans="1:6" ht="12.75" customHeight="1">
      <c r="A26" s="197" t="s">
        <v>228</v>
      </c>
      <c r="B26" s="198">
        <f>Tab01!D20</f>
        <v>0</v>
      </c>
      <c r="C26" s="198">
        <f>Tab01!E20</f>
        <v>0</v>
      </c>
      <c r="D26" s="198">
        <f>Tab01!F20</f>
        <v>0</v>
      </c>
      <c r="E26" s="198">
        <f>Tab01!G20</f>
        <v>0</v>
      </c>
      <c r="F26" s="198">
        <f>Tab01!H20</f>
        <v>0</v>
      </c>
    </row>
    <row r="27" spans="1:6" ht="12.75" customHeight="1">
      <c r="A27" s="197" t="s">
        <v>223</v>
      </c>
      <c r="B27" s="198">
        <f>Tab01!D42</f>
        <v>0</v>
      </c>
      <c r="C27" s="198">
        <f>Tab01!E42</f>
        <v>0</v>
      </c>
      <c r="D27" s="198">
        <f>Tab01!F42</f>
        <v>0</v>
      </c>
      <c r="E27" s="198">
        <f>Tab01!G42</f>
        <v>0</v>
      </c>
      <c r="F27" s="198">
        <f>Tab01!H42</f>
        <v>0</v>
      </c>
    </row>
    <row r="28" spans="1:7" ht="12.75" customHeight="1">
      <c r="A28" s="197" t="s">
        <v>224</v>
      </c>
      <c r="B28" s="198">
        <f>Tab01!D43+Tab01!D53+Tab01!D58</f>
        <v>446661</v>
      </c>
      <c r="C28" s="198">
        <f>Tab01!E43+Tab01!E53+Tab01!E58</f>
        <v>511814.7700785</v>
      </c>
      <c r="D28" s="198">
        <f>Tab01!F43+Tab01!F53+Tab01!F58</f>
        <v>589321.4397853378</v>
      </c>
      <c r="E28" s="198">
        <f>Tab01!G43+Tab01!G53+Tab01!G58</f>
        <v>681444.1672525818</v>
      </c>
      <c r="F28" s="198">
        <f>Tab01!H43+Tab01!H53+Tab01!H58</f>
        <v>789024.711958581</v>
      </c>
      <c r="G28" s="90"/>
    </row>
    <row r="29" spans="1:6" ht="12.75" customHeight="1">
      <c r="A29" s="197" t="s">
        <v>225</v>
      </c>
      <c r="B29" s="198">
        <f>Tab01!D44+Tab01!D27</f>
        <v>184500</v>
      </c>
      <c r="C29" s="198">
        <f>Tab01!E44+Tab01!E27</f>
        <v>211412.73825</v>
      </c>
      <c r="D29" s="198">
        <f>Tab01!F44+Tab01!F27</f>
        <v>243428.02626688874</v>
      </c>
      <c r="E29" s="198">
        <f>Tab01!G44+Tab01!G27</f>
        <v>281480.6953329288</v>
      </c>
      <c r="F29" s="198">
        <f>Tab01!H44+Tab01!H27</f>
        <v>325918.44677811174</v>
      </c>
    </row>
    <row r="30" spans="1:6" ht="12.75" customHeight="1">
      <c r="A30" s="197" t="s">
        <v>226</v>
      </c>
      <c r="B30" s="198">
        <f>Tab01!D45</f>
        <v>238021.6</v>
      </c>
      <c r="C30" s="198">
        <f>Tab01!E45</f>
        <v>272741.4537596</v>
      </c>
      <c r="D30" s="198">
        <f>Tab01!F45</f>
        <v>314044.055809685</v>
      </c>
      <c r="E30" s="198">
        <f>Tab01!G45</f>
        <v>363135.42261385504</v>
      </c>
      <c r="F30" s="198">
        <f>Tab01!H45</f>
        <v>420464.120171496</v>
      </c>
    </row>
    <row r="31" spans="1:6" ht="12.75" customHeight="1">
      <c r="A31" s="197" t="s">
        <v>227</v>
      </c>
      <c r="B31" s="198">
        <f>Tab01!D55</f>
        <v>10773.95</v>
      </c>
      <c r="C31" s="198">
        <f>Tab01!E55</f>
        <v>12345.529925575001</v>
      </c>
      <c r="D31" s="198">
        <f>Tab01!F55</f>
        <v>14215.075249854453</v>
      </c>
      <c r="E31" s="198">
        <f>Tab01!G55</f>
        <v>16437.1758129117</v>
      </c>
      <c r="F31" s="198">
        <f>Tab01!H55</f>
        <v>19032.13577054221</v>
      </c>
    </row>
    <row r="32" spans="1:6" ht="12.75" customHeight="1">
      <c r="A32" s="197" t="s">
        <v>229</v>
      </c>
      <c r="B32" s="202">
        <f>Tab01!D62+Tab01!D85</f>
        <v>240000</v>
      </c>
      <c r="C32" s="202">
        <f>Tab01!E62+Tab01!E85</f>
        <v>253464</v>
      </c>
      <c r="D32" s="202">
        <f>Tab01!F62+Tab01!F85</f>
        <v>266770.86</v>
      </c>
      <c r="E32" s="202">
        <f>Tab01!G62+Tab01!G85</f>
        <v>280429.52803199994</v>
      </c>
      <c r="F32" s="202">
        <f>Tab01!H62+Tab01!H85</f>
        <v>294647.3051032223</v>
      </c>
    </row>
    <row r="33" spans="1:6" ht="12.75" customHeight="1">
      <c r="A33" s="197" t="s">
        <v>230</v>
      </c>
      <c r="B33" s="202">
        <f>Tab01!D80+Tab01!D81</f>
        <v>9797.17</v>
      </c>
      <c r="C33" s="202">
        <f>Tab01!E80+Tab01!E81</f>
        <v>10346.791237000001</v>
      </c>
      <c r="D33" s="202">
        <f>Tab01!F80+Tab01!F81</f>
        <v>10889.9977769425</v>
      </c>
      <c r="E33" s="202">
        <f>Tab01!G80+Tab01!G81</f>
        <v>11447.565663121955</v>
      </c>
      <c r="F33" s="202">
        <f>Tab01!H80+Tab01!H81</f>
        <v>12027.957242242239</v>
      </c>
    </row>
    <row r="34" spans="1:6" ht="12.75" customHeight="1">
      <c r="A34" s="197"/>
      <c r="B34" s="202"/>
      <c r="C34" s="198"/>
      <c r="D34" s="198"/>
      <c r="E34" s="198"/>
      <c r="F34" s="198"/>
    </row>
    <row r="35" spans="1:6" ht="12.75" customHeight="1">
      <c r="A35" s="203" t="s">
        <v>234</v>
      </c>
      <c r="B35" s="204">
        <f>B6-B9-B20-B25</f>
        <v>3053656.9686000003</v>
      </c>
      <c r="C35" s="204">
        <f>C6-C9-C20-C25</f>
        <v>2084740.3436177054</v>
      </c>
      <c r="D35" s="204">
        <f>D6-D9-D20-D25</f>
        <v>3006412.6906086206</v>
      </c>
      <c r="E35" s="204">
        <f>E6-E9-E20-E25</f>
        <v>4190912.140870975</v>
      </c>
      <c r="F35" s="204">
        <f>F6-F9-F20-F25</f>
        <v>5686959.730423146</v>
      </c>
    </row>
    <row r="36" spans="1:6" ht="12.75" customHeight="1">
      <c r="A36" s="91"/>
      <c r="B36" s="107"/>
      <c r="C36" s="90"/>
      <c r="D36" s="90"/>
      <c r="E36" s="90"/>
      <c r="F36" s="90"/>
    </row>
    <row r="37" spans="1:6" ht="12.75" customHeight="1">
      <c r="A37" s="91"/>
      <c r="B37" s="107"/>
      <c r="C37" s="90"/>
      <c r="D37" s="90"/>
      <c r="E37" s="90"/>
      <c r="F37" s="90"/>
    </row>
    <row r="38" spans="1:6" ht="12.75" customHeight="1">
      <c r="A38" s="91"/>
      <c r="B38" s="107"/>
      <c r="C38" s="90"/>
      <c r="D38" s="90"/>
      <c r="E38" s="90"/>
      <c r="F38" s="90"/>
    </row>
    <row r="39" spans="1:6" ht="12.75" customHeight="1">
      <c r="A39" s="93"/>
      <c r="B39" s="101"/>
      <c r="C39" s="102"/>
      <c r="D39" s="102"/>
      <c r="E39" s="102"/>
      <c r="F39" s="102"/>
    </row>
    <row r="40" spans="1:6" ht="12.75" customHeight="1">
      <c r="A40" s="93"/>
      <c r="B40" s="101"/>
      <c r="C40" s="102"/>
      <c r="D40" s="102"/>
      <c r="E40" s="102"/>
      <c r="F40" s="102"/>
    </row>
    <row r="41" spans="1:6" ht="12.75" customHeight="1">
      <c r="A41" s="93"/>
      <c r="B41" s="102"/>
      <c r="C41" s="102"/>
      <c r="D41" s="102"/>
      <c r="E41" s="102"/>
      <c r="F41" s="102"/>
    </row>
    <row r="42" spans="1:6" ht="12.75" customHeight="1">
      <c r="A42" s="102"/>
      <c r="B42" s="102"/>
      <c r="C42" s="102"/>
      <c r="D42" s="102"/>
      <c r="E42" s="102"/>
      <c r="F42" s="10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70" r:id="rId1"/>
  <headerFooter alignWithMargins="0">
    <oddHeader>&amp;L&amp;D, &amp;T&amp;CPág.&amp;P/&amp;N&amp;R&amp;F -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F37"/>
  <sheetViews>
    <sheetView zoomScale="75" zoomScaleNormal="75" zoomScalePageLayoutView="0" workbookViewId="0" topLeftCell="A1">
      <pane xSplit="1" ySplit="5" topLeftCell="B6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47.7109375" style="29" customWidth="1"/>
    <col min="2" max="6" width="18.7109375" style="29" customWidth="1"/>
    <col min="7" max="16384" width="9.140625" style="29" customWidth="1"/>
  </cols>
  <sheetData>
    <row r="1" ht="12.75">
      <c r="A1" s="28" t="s">
        <v>76</v>
      </c>
    </row>
    <row r="2" spans="1:6" ht="12.75">
      <c r="A2" s="30" t="s">
        <v>77</v>
      </c>
      <c r="B2" s="31"/>
      <c r="C2" s="31"/>
      <c r="D2" s="31"/>
      <c r="E2" s="31"/>
      <c r="F2" s="31"/>
    </row>
    <row r="3" ht="12.75">
      <c r="F3" s="32" t="s">
        <v>35</v>
      </c>
    </row>
    <row r="4" spans="1:6" ht="18" customHeight="1">
      <c r="A4" s="34" t="s">
        <v>78</v>
      </c>
      <c r="B4" s="34">
        <v>2001</v>
      </c>
      <c r="C4" s="34">
        <v>2002</v>
      </c>
      <c r="D4" s="34">
        <v>2003</v>
      </c>
      <c r="E4" s="34">
        <v>2004</v>
      </c>
      <c r="F4" s="34">
        <v>2005</v>
      </c>
    </row>
    <row r="5" spans="1:6" ht="24.75" customHeight="1">
      <c r="A5" s="35" t="s">
        <v>79</v>
      </c>
      <c r="B5" s="36">
        <f>+B6+B7+B12</f>
        <v>77140.65999999999</v>
      </c>
      <c r="C5" s="36">
        <f>+C6+C7+C12</f>
        <v>86636.67605915718</v>
      </c>
      <c r="D5" s="36">
        <f>+D6+D7+D12</f>
        <v>97534.82945991811</v>
      </c>
      <c r="E5" s="36">
        <f>+E6+E7+E12</f>
        <v>110114.7192209933</v>
      </c>
      <c r="F5" s="36">
        <f>+F6+F7+F12</f>
        <v>124623.76057945703</v>
      </c>
    </row>
    <row r="6" spans="1:6" ht="24.75" customHeight="1">
      <c r="A6" s="37" t="s">
        <v>37</v>
      </c>
      <c r="B6" s="38">
        <f>Tab01!D7</f>
        <v>0</v>
      </c>
      <c r="C6" s="38">
        <f>Tab01!E7</f>
        <v>0</v>
      </c>
      <c r="D6" s="38">
        <f>Tab01!F7</f>
        <v>0</v>
      </c>
      <c r="E6" s="38">
        <f>Tab01!G7</f>
        <v>0</v>
      </c>
      <c r="F6" s="38">
        <f>Tab01!H7</f>
        <v>0</v>
      </c>
    </row>
    <row r="7" spans="1:6" ht="24.75" customHeight="1">
      <c r="A7" s="39" t="s">
        <v>39</v>
      </c>
      <c r="B7" s="40">
        <f>Tab01!D23</f>
        <v>17039.73</v>
      </c>
      <c r="C7" s="40">
        <f>Tab01!E23</f>
        <v>18647.1017034786</v>
      </c>
      <c r="D7" s="40">
        <f>Tab01!F23</f>
        <v>20360.089730816107</v>
      </c>
      <c r="E7" s="40">
        <f>Tab01!G23</f>
        <v>22209.401567487672</v>
      </c>
      <c r="F7" s="40">
        <f>Tab01!H23</f>
        <v>24278.16912332845</v>
      </c>
    </row>
    <row r="8" spans="1:6" ht="24.75" customHeight="1">
      <c r="A8" s="41" t="s">
        <v>80</v>
      </c>
      <c r="B8" s="42" t="e">
        <f>B7-B9-B10-B11</f>
        <v>#REF!</v>
      </c>
      <c r="C8" s="42" t="e">
        <f>C7-C9-C10-C11</f>
        <v>#REF!</v>
      </c>
      <c r="D8" s="42" t="e">
        <f>D7-D9-D10-D11</f>
        <v>#REF!</v>
      </c>
      <c r="E8" s="42" t="e">
        <f>E7-E9-E10-E11</f>
        <v>#REF!</v>
      </c>
      <c r="F8" s="42" t="e">
        <f>F7-F9-F10-F11</f>
        <v>#REF!</v>
      </c>
    </row>
    <row r="9" spans="1:6" ht="24.75" customHeight="1">
      <c r="A9" s="41" t="s">
        <v>81</v>
      </c>
      <c r="B9" s="33"/>
      <c r="C9" s="33"/>
      <c r="D9" s="33"/>
      <c r="E9" s="33"/>
      <c r="F9" s="33"/>
    </row>
    <row r="10" spans="1:6" ht="24.75" customHeight="1">
      <c r="A10" s="41" t="s">
        <v>82</v>
      </c>
      <c r="B10" s="42" t="e">
        <f>Tab01!D39+Tab01!#REF!</f>
        <v>#REF!</v>
      </c>
      <c r="C10" s="42" t="e">
        <f>Tab01!E39+Tab01!#REF!</f>
        <v>#REF!</v>
      </c>
      <c r="D10" s="42" t="e">
        <f>Tab01!F39+Tab01!#REF!</f>
        <v>#REF!</v>
      </c>
      <c r="E10" s="42" t="e">
        <f>Tab01!G39+Tab01!#REF!</f>
        <v>#REF!</v>
      </c>
      <c r="F10" s="42" t="e">
        <f>Tab01!H39+Tab01!#REF!</f>
        <v>#REF!</v>
      </c>
    </row>
    <row r="11" spans="1:6" ht="24.75" customHeight="1">
      <c r="A11" s="41" t="s">
        <v>83</v>
      </c>
      <c r="B11" s="42">
        <f>Tab01!D44</f>
        <v>184500</v>
      </c>
      <c r="C11" s="42">
        <f>Tab01!E44</f>
        <v>211412.73825</v>
      </c>
      <c r="D11" s="42">
        <f>Tab01!F44</f>
        <v>243428.02626688874</v>
      </c>
      <c r="E11" s="42">
        <f>Tab01!G44</f>
        <v>281480.6953329288</v>
      </c>
      <c r="F11" s="42">
        <f>Tab01!H44</f>
        <v>325918.44677811174</v>
      </c>
    </row>
    <row r="12" spans="1:6" ht="24.75" customHeight="1">
      <c r="A12" s="39" t="s">
        <v>105</v>
      </c>
      <c r="B12" s="40">
        <f>Tab01!D16+Tab01!D17+Tab01!D20+Tab01!D21+Tab01!D22+Tab01!D46</f>
        <v>60100.92999999999</v>
      </c>
      <c r="C12" s="40">
        <f>Tab01!E16+Tab01!E17+Tab01!E20+Tab01!E21+Tab01!E22+Tab01!E46</f>
        <v>67989.57435567859</v>
      </c>
      <c r="D12" s="40">
        <f>Tab01!F16+Tab01!F17+Tab01!F20+Tab01!F21+Tab01!F22+Tab01!F46</f>
        <v>77174.739729102</v>
      </c>
      <c r="E12" s="40">
        <f>Tab01!G16+Tab01!G17+Tab01!G20+Tab01!G21+Tab01!G22+Tab01!G46</f>
        <v>87905.31765350563</v>
      </c>
      <c r="F12" s="40">
        <f>Tab01!H16+Tab01!H17+Tab01!H20+Tab01!H21+Tab01!H22+Tab01!H46</f>
        <v>100345.59145612858</v>
      </c>
    </row>
    <row r="13" spans="1:6" ht="24.75" customHeight="1">
      <c r="A13" s="43" t="s">
        <v>84</v>
      </c>
      <c r="B13" s="44" t="e">
        <f>+B14+B20+B23+B28+B32</f>
        <v>#REF!</v>
      </c>
      <c r="C13" s="44" t="e">
        <f>+C14+C20+C23+C28+C32</f>
        <v>#REF!</v>
      </c>
      <c r="D13" s="44" t="e">
        <f>+D14+D20+D23+D28+D32</f>
        <v>#REF!</v>
      </c>
      <c r="E13" s="44" t="e">
        <f>+E14+E20+E23+E28+E32</f>
        <v>#REF!</v>
      </c>
      <c r="F13" s="44" t="e">
        <f>+F14+F20+F23+F28+F32</f>
        <v>#REF!</v>
      </c>
    </row>
    <row r="14" spans="1:6" ht="24.75" customHeight="1">
      <c r="A14" s="39" t="s">
        <v>85</v>
      </c>
      <c r="B14" s="40">
        <f>+B15+B18+B19</f>
        <v>0</v>
      </c>
      <c r="C14" s="40">
        <f>+C15+C18+C19</f>
        <v>0</v>
      </c>
      <c r="D14" s="40">
        <f>+D15+D18+D19</f>
        <v>0</v>
      </c>
      <c r="E14" s="40">
        <f>+E15+E18+E19</f>
        <v>0</v>
      </c>
      <c r="F14" s="40">
        <f>+F15+F18+F19</f>
        <v>0</v>
      </c>
    </row>
    <row r="15" spans="1:6" ht="24.75" customHeight="1">
      <c r="A15" s="41" t="s">
        <v>86</v>
      </c>
      <c r="B15" s="42">
        <f>SUM(B16:B17)</f>
        <v>0</v>
      </c>
      <c r="C15" s="42">
        <f>SUM(C16:C17)</f>
        <v>0</v>
      </c>
      <c r="D15" s="42">
        <f>SUM(D16:D17)</f>
        <v>0</v>
      </c>
      <c r="E15" s="42">
        <f>SUM(E16:E17)</f>
        <v>0</v>
      </c>
      <c r="F15" s="42">
        <f>SUM(F16:F17)</f>
        <v>0</v>
      </c>
    </row>
    <row r="16" spans="1:6" ht="24.75" customHeight="1">
      <c r="A16" s="45" t="s">
        <v>87</v>
      </c>
      <c r="B16" s="33"/>
      <c r="C16" s="33"/>
      <c r="D16" s="33"/>
      <c r="E16" s="33"/>
      <c r="F16" s="33"/>
    </row>
    <row r="17" spans="1:6" ht="24.75" customHeight="1">
      <c r="A17" s="45" t="s">
        <v>88</v>
      </c>
      <c r="B17" s="33"/>
      <c r="C17" s="33"/>
      <c r="D17" s="33"/>
      <c r="E17" s="33"/>
      <c r="F17" s="33"/>
    </row>
    <row r="18" spans="1:6" ht="24.75" customHeight="1">
      <c r="A18" s="41" t="s">
        <v>81</v>
      </c>
      <c r="B18" s="42">
        <f>B9</f>
        <v>0</v>
      </c>
      <c r="C18" s="42">
        <f>C9</f>
        <v>0</v>
      </c>
      <c r="D18" s="42">
        <f>D9</f>
        <v>0</v>
      </c>
      <c r="E18" s="42">
        <f>E9</f>
        <v>0</v>
      </c>
      <c r="F18" s="42">
        <f>F9</f>
        <v>0</v>
      </c>
    </row>
    <row r="19" spans="1:6" ht="24.75" customHeight="1">
      <c r="A19" s="41" t="s">
        <v>89</v>
      </c>
      <c r="B19" s="33"/>
      <c r="C19" s="33"/>
      <c r="D19" s="33"/>
      <c r="E19" s="33"/>
      <c r="F19" s="33"/>
    </row>
    <row r="20" spans="1:6" ht="24.75" customHeight="1">
      <c r="A20" s="39" t="s">
        <v>90</v>
      </c>
      <c r="B20" s="40">
        <f>SUM(B21:B22)</f>
        <v>0</v>
      </c>
      <c r="C20" s="40">
        <f>SUM(C21:C22)</f>
        <v>0</v>
      </c>
      <c r="D20" s="40">
        <f>SUM(D21:D22)</f>
        <v>0</v>
      </c>
      <c r="E20" s="40">
        <f>SUM(E21:E22)</f>
        <v>0</v>
      </c>
      <c r="F20" s="40">
        <f>SUM(F21:F22)</f>
        <v>0</v>
      </c>
    </row>
    <row r="21" spans="1:6" ht="24.75" customHeight="1">
      <c r="A21" s="41" t="s">
        <v>87</v>
      </c>
      <c r="B21" s="33"/>
      <c r="C21" s="33"/>
      <c r="D21" s="33"/>
      <c r="E21" s="33"/>
      <c r="F21" s="33"/>
    </row>
    <row r="22" spans="1:6" ht="24.75" customHeight="1">
      <c r="A22" s="41" t="s">
        <v>88</v>
      </c>
      <c r="B22" s="33"/>
      <c r="C22" s="33"/>
      <c r="D22" s="33"/>
      <c r="E22" s="33"/>
      <c r="F22" s="33"/>
    </row>
    <row r="23" spans="1:6" ht="24.75" customHeight="1">
      <c r="A23" s="39" t="s">
        <v>91</v>
      </c>
      <c r="B23" s="40" t="e">
        <f>+B24+B27</f>
        <v>#REF!</v>
      </c>
      <c r="C23" s="40" t="e">
        <f>+C24+C27</f>
        <v>#REF!</v>
      </c>
      <c r="D23" s="40" t="e">
        <f>+D24+D27</f>
        <v>#REF!</v>
      </c>
      <c r="E23" s="40" t="e">
        <f>+E24+E27</f>
        <v>#REF!</v>
      </c>
      <c r="F23" s="40" t="e">
        <f>+F24+F27</f>
        <v>#REF!</v>
      </c>
    </row>
    <row r="24" spans="1:6" ht="24.75" customHeight="1">
      <c r="A24" s="41" t="s">
        <v>92</v>
      </c>
      <c r="B24" s="42" t="e">
        <f>Tab07B!B30</f>
        <v>#REF!</v>
      </c>
      <c r="C24" s="42" t="e">
        <f>Tab07B!C30</f>
        <v>#REF!</v>
      </c>
      <c r="D24" s="42" t="e">
        <f>Tab07B!D30</f>
        <v>#REF!</v>
      </c>
      <c r="E24" s="42" t="e">
        <f>Tab07B!E30</f>
        <v>#REF!</v>
      </c>
      <c r="F24" s="42" t="e">
        <f>Tab07B!F30</f>
        <v>#REF!</v>
      </c>
    </row>
    <row r="25" spans="1:6" ht="24.75" customHeight="1">
      <c r="A25" s="45" t="s">
        <v>93</v>
      </c>
      <c r="B25" s="42" t="e">
        <f>Tab07B!B31</f>
        <v>#REF!</v>
      </c>
      <c r="C25" s="42" t="e">
        <f>Tab07B!C31</f>
        <v>#REF!</v>
      </c>
      <c r="D25" s="42" t="e">
        <f>Tab07B!D31</f>
        <v>#REF!</v>
      </c>
      <c r="E25" s="42" t="e">
        <f>Tab07B!E31</f>
        <v>#REF!</v>
      </c>
      <c r="F25" s="42" t="e">
        <f>Tab07B!F31</f>
        <v>#REF!</v>
      </c>
    </row>
    <row r="26" spans="1:6" ht="24.75" customHeight="1">
      <c r="A26" s="45" t="s">
        <v>88</v>
      </c>
      <c r="B26" s="42" t="e">
        <f>B24-B25</f>
        <v>#REF!</v>
      </c>
      <c r="C26" s="42" t="e">
        <f>C24-C25</f>
        <v>#REF!</v>
      </c>
      <c r="D26" s="42" t="e">
        <f>D24-D25</f>
        <v>#REF!</v>
      </c>
      <c r="E26" s="42" t="e">
        <f>E24-E25</f>
        <v>#REF!</v>
      </c>
      <c r="F26" s="42" t="e">
        <f>F24-F25</f>
        <v>#REF!</v>
      </c>
    </row>
    <row r="27" spans="1:6" ht="24.75" customHeight="1">
      <c r="A27" s="41" t="s">
        <v>94</v>
      </c>
      <c r="B27" s="33"/>
      <c r="C27" s="33"/>
      <c r="D27" s="33"/>
      <c r="E27" s="33"/>
      <c r="F27" s="33"/>
    </row>
    <row r="28" spans="1:6" ht="24.75" customHeight="1">
      <c r="A28" s="39" t="s">
        <v>95</v>
      </c>
      <c r="B28" s="40">
        <f>SUM(B29:B31)</f>
        <v>0</v>
      </c>
      <c r="C28" s="40">
        <f>SUM(C29:C31)</f>
        <v>0</v>
      </c>
      <c r="D28" s="40">
        <f>SUM(D29:D31)</f>
        <v>0</v>
      </c>
      <c r="E28" s="40">
        <f>SUM(E29:E31)</f>
        <v>0</v>
      </c>
      <c r="F28" s="40">
        <f>SUM(F29:F31)</f>
        <v>0</v>
      </c>
    </row>
    <row r="29" spans="1:6" ht="24.75" customHeight="1">
      <c r="A29" s="41" t="s">
        <v>96</v>
      </c>
      <c r="B29" s="33"/>
      <c r="C29" s="33"/>
      <c r="D29" s="33"/>
      <c r="E29" s="33"/>
      <c r="F29" s="33"/>
    </row>
    <row r="30" spans="1:6" ht="24.75" customHeight="1">
      <c r="A30" s="41" t="s">
        <v>97</v>
      </c>
      <c r="B30" s="33"/>
      <c r="C30" s="33"/>
      <c r="D30" s="33"/>
      <c r="E30" s="33"/>
      <c r="F30" s="33"/>
    </row>
    <row r="31" spans="1:6" ht="24.75" customHeight="1">
      <c r="A31" s="41" t="s">
        <v>98</v>
      </c>
      <c r="B31" s="33"/>
      <c r="C31" s="33"/>
      <c r="D31" s="33"/>
      <c r="E31" s="33"/>
      <c r="F31" s="33"/>
    </row>
    <row r="32" spans="1:6" ht="24.75" customHeight="1">
      <c r="A32" s="39" t="s">
        <v>99</v>
      </c>
      <c r="B32" s="40">
        <f>SUM(B33:B34)</f>
        <v>0</v>
      </c>
      <c r="C32" s="40">
        <f>SUM(C33:C34)</f>
        <v>0</v>
      </c>
      <c r="D32" s="40">
        <f>SUM(D33:D34)</f>
        <v>0</v>
      </c>
      <c r="E32" s="40">
        <f>SUM(E33:E34)</f>
        <v>0</v>
      </c>
      <c r="F32" s="40">
        <f>SUM(F33:F34)</f>
        <v>0</v>
      </c>
    </row>
    <row r="33" spans="1:6" ht="24.75" customHeight="1">
      <c r="A33" s="41" t="s">
        <v>100</v>
      </c>
      <c r="B33" s="33"/>
      <c r="C33" s="33"/>
      <c r="D33" s="33"/>
      <c r="E33" s="33"/>
      <c r="F33" s="33"/>
    </row>
    <row r="34" spans="1:6" ht="24.75" customHeight="1">
      <c r="A34" s="41" t="s">
        <v>101</v>
      </c>
      <c r="B34" s="33"/>
      <c r="C34" s="33"/>
      <c r="D34" s="33"/>
      <c r="E34" s="33"/>
      <c r="F34" s="33"/>
    </row>
    <row r="35" spans="1:6" ht="24.75" customHeight="1">
      <c r="A35" s="39" t="s">
        <v>102</v>
      </c>
      <c r="B35" s="40" t="e">
        <f>B5-B13</f>
        <v>#REF!</v>
      </c>
      <c r="C35" s="40" t="e">
        <f>C5-C13</f>
        <v>#REF!</v>
      </c>
      <c r="D35" s="40" t="e">
        <f>D5-D13</f>
        <v>#REF!</v>
      </c>
      <c r="E35" s="40" t="e">
        <f>E5-E13</f>
        <v>#REF!</v>
      </c>
      <c r="F35" s="40" t="e">
        <f>F5-F13</f>
        <v>#REF!</v>
      </c>
    </row>
    <row r="36" spans="1:6" ht="24.75" customHeight="1">
      <c r="A36" s="46" t="s">
        <v>103</v>
      </c>
      <c r="B36" s="47"/>
      <c r="C36" s="47" t="e">
        <f>Tab05A!B11+Tab05A!#REF!+Tab05A!#REF!</f>
        <v>#REF!</v>
      </c>
      <c r="D36" s="47" t="e">
        <f>Tab05A!C11+Tab05A!#REF!+Tab05A!#REF!</f>
        <v>#REF!</v>
      </c>
      <c r="E36" s="47" t="e">
        <f>Tab05A!D11+Tab05A!#REF!+Tab05A!#REF!</f>
        <v>#REF!</v>
      </c>
      <c r="F36" s="47" t="e">
        <f>Tab05A!E11+Tab05A!#REF!+Tab05A!#REF!</f>
        <v>#REF!</v>
      </c>
    </row>
    <row r="37" spans="1:6" ht="24.75" customHeight="1">
      <c r="A37" s="48" t="s">
        <v>104</v>
      </c>
      <c r="B37" s="49" t="e">
        <f>B35-B36</f>
        <v>#REF!</v>
      </c>
      <c r="C37" s="49" t="e">
        <f>C35-C36</f>
        <v>#REF!</v>
      </c>
      <c r="D37" s="49" t="e">
        <f>D35-D36</f>
        <v>#REF!</v>
      </c>
      <c r="E37" s="49" t="e">
        <f>E35-E36</f>
        <v>#REF!</v>
      </c>
      <c r="F37" s="49" t="e">
        <f>F35-F36</f>
        <v>#REF!</v>
      </c>
    </row>
  </sheetData>
  <sheetProtection sheet="1" objects="1" scenarios="1"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U100"/>
  <sheetViews>
    <sheetView showGridLines="0"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140625" defaultRowHeight="24" customHeight="1"/>
  <cols>
    <col min="1" max="1" width="50.57421875" style="52" customWidth="1"/>
    <col min="2" max="2" width="14.8515625" style="52" customWidth="1"/>
    <col min="3" max="4" width="15.8515625" style="52" customWidth="1"/>
    <col min="5" max="5" width="14.8515625" style="52" customWidth="1"/>
    <col min="6" max="6" width="14.421875" style="52" customWidth="1"/>
    <col min="7" max="7" width="14.8515625" style="52" customWidth="1"/>
    <col min="8" max="8" width="14.421875" style="52" customWidth="1"/>
    <col min="9" max="9" width="10.7109375" style="52" customWidth="1"/>
    <col min="10" max="16384" width="9.140625" style="52" customWidth="1"/>
  </cols>
  <sheetData>
    <row r="1" spans="1:8" s="50" customFormat="1" ht="12.75" customHeight="1">
      <c r="A1" s="283" t="str">
        <f>Parâmetros!A7</f>
        <v>MUNICÍPIO DE:</v>
      </c>
      <c r="B1" s="284"/>
      <c r="C1" s="284"/>
      <c r="D1" s="284"/>
      <c r="E1" s="284"/>
      <c r="F1" s="284"/>
      <c r="G1" s="284"/>
      <c r="H1" s="284"/>
    </row>
    <row r="2" spans="1:8" s="50" customFormat="1" ht="12.75" customHeight="1">
      <c r="A2" s="283" t="s">
        <v>251</v>
      </c>
      <c r="B2" s="284"/>
      <c r="C2" s="284"/>
      <c r="D2" s="284"/>
      <c r="E2" s="284"/>
      <c r="F2" s="284"/>
      <c r="G2" s="284"/>
      <c r="H2" s="284"/>
    </row>
    <row r="3" spans="1:8" ht="12.75" customHeight="1">
      <c r="A3" s="285" t="s">
        <v>250</v>
      </c>
      <c r="B3" s="284"/>
      <c r="C3" s="284"/>
      <c r="D3" s="284"/>
      <c r="E3" s="284"/>
      <c r="F3" s="284"/>
      <c r="G3" s="284"/>
      <c r="H3" s="284"/>
    </row>
    <row r="4" spans="1:8" ht="12.75" customHeight="1">
      <c r="A4" s="222"/>
      <c r="B4" s="222"/>
      <c r="C4" s="223"/>
      <c r="D4" s="223"/>
      <c r="E4" s="223"/>
      <c r="F4" s="223"/>
      <c r="G4" s="223"/>
      <c r="H4" s="224" t="s">
        <v>186</v>
      </c>
    </row>
    <row r="5" spans="1:8" ht="12.75" customHeight="1">
      <c r="A5" s="225" t="s">
        <v>34</v>
      </c>
      <c r="B5" s="149">
        <v>2011</v>
      </c>
      <c r="C5" s="149">
        <f aca="true" t="shared" si="0" ref="C5:H5">+B5+1</f>
        <v>2012</v>
      </c>
      <c r="D5" s="149">
        <f t="shared" si="0"/>
        <v>2013</v>
      </c>
      <c r="E5" s="149">
        <f t="shared" si="0"/>
        <v>2014</v>
      </c>
      <c r="F5" s="149">
        <f t="shared" si="0"/>
        <v>2015</v>
      </c>
      <c r="G5" s="149">
        <f t="shared" si="0"/>
        <v>2016</v>
      </c>
      <c r="H5" s="149">
        <f t="shared" si="0"/>
        <v>2017</v>
      </c>
    </row>
    <row r="6" spans="1:9" ht="12.75" customHeight="1">
      <c r="A6" s="144" t="s">
        <v>123</v>
      </c>
      <c r="B6" s="111">
        <f aca="true" t="shared" si="1" ref="B6:H6">+B8+B79</f>
        <v>13164324.31</v>
      </c>
      <c r="C6" s="111">
        <f t="shared" si="1"/>
        <v>14296107.810000002</v>
      </c>
      <c r="D6" s="111">
        <f t="shared" si="1"/>
        <v>14270552.31</v>
      </c>
      <c r="E6" s="111">
        <f t="shared" si="1"/>
        <v>15121592.061894482</v>
      </c>
      <c r="F6" s="111">
        <f t="shared" si="1"/>
        <v>17384573.74215015</v>
      </c>
      <c r="G6" s="111">
        <f t="shared" si="1"/>
        <v>20057898.882259622</v>
      </c>
      <c r="H6" s="111">
        <f t="shared" si="1"/>
        <v>23169184.10871753</v>
      </c>
      <c r="I6" s="53"/>
    </row>
    <row r="7" spans="1:9" s="55" customFormat="1" ht="12.75" customHeight="1">
      <c r="A7" s="144"/>
      <c r="B7" s="111"/>
      <c r="C7" s="111"/>
      <c r="D7" s="111"/>
      <c r="E7" s="111"/>
      <c r="F7" s="111"/>
      <c r="G7" s="111"/>
      <c r="H7" s="111"/>
      <c r="I7" s="54"/>
    </row>
    <row r="8" spans="1:9" ht="12.75" customHeight="1">
      <c r="A8" s="149" t="s">
        <v>178</v>
      </c>
      <c r="B8" s="111">
        <f aca="true" t="shared" si="2" ref="B8:H8">+B9+B17+B22+B32+B33+B34+B37+B70-B76</f>
        <v>13126152.91</v>
      </c>
      <c r="C8" s="111">
        <f t="shared" si="2"/>
        <v>14234151.760000002</v>
      </c>
      <c r="D8" s="111">
        <f t="shared" si="2"/>
        <v>13930755.14</v>
      </c>
      <c r="E8" s="111">
        <f t="shared" si="2"/>
        <v>14762732.270657482</v>
      </c>
      <c r="F8" s="111">
        <f t="shared" si="2"/>
        <v>17006873.81187321</v>
      </c>
      <c r="G8" s="111">
        <f t="shared" si="2"/>
        <v>19660860.7155525</v>
      </c>
      <c r="H8" s="111">
        <f t="shared" si="2"/>
        <v>22752016.10695836</v>
      </c>
      <c r="I8" s="98"/>
    </row>
    <row r="9" spans="1:9" s="50" customFormat="1" ht="12.75" customHeight="1">
      <c r="A9" s="135" t="s">
        <v>56</v>
      </c>
      <c r="B9" s="111">
        <f>B10+B15+B16</f>
        <v>464873.07</v>
      </c>
      <c r="C9" s="111">
        <f aca="true" t="shared" si="3" ref="C9:H9">C10+C15+C16</f>
        <v>991563.46</v>
      </c>
      <c r="D9" s="111">
        <f t="shared" si="3"/>
        <v>800095.04</v>
      </c>
      <c r="E9" s="111">
        <f t="shared" si="3"/>
        <v>870329.78289632</v>
      </c>
      <c r="F9" s="111">
        <f t="shared" si="3"/>
        <v>945334.803586325</v>
      </c>
      <c r="G9" s="111">
        <f t="shared" si="3"/>
        <v>1029510.4395690227</v>
      </c>
      <c r="H9" s="111">
        <f t="shared" si="3"/>
        <v>1124974.883609379</v>
      </c>
      <c r="I9" s="56"/>
    </row>
    <row r="10" spans="1:9" ht="12.75" customHeight="1">
      <c r="A10" s="191" t="s">
        <v>57</v>
      </c>
      <c r="B10" s="112">
        <f>SUM(B11:B14)</f>
        <v>415968.88</v>
      </c>
      <c r="C10" s="112">
        <f aca="true" t="shared" si="4" ref="C10:H10">SUM(C11:C14)</f>
        <v>946524.37</v>
      </c>
      <c r="D10" s="112">
        <f t="shared" si="4"/>
        <v>775159.26</v>
      </c>
      <c r="E10" s="112">
        <f t="shared" si="4"/>
        <v>843205.06532058</v>
      </c>
      <c r="F10" s="112">
        <f t="shared" si="4"/>
        <v>915872.4778499077</v>
      </c>
      <c r="G10" s="112">
        <f t="shared" si="4"/>
        <v>997424.6940695925</v>
      </c>
      <c r="H10" s="112">
        <f t="shared" si="4"/>
        <v>1089913.8911012777</v>
      </c>
      <c r="I10" s="53"/>
    </row>
    <row r="11" spans="1:9" ht="12.75" customHeight="1">
      <c r="A11" s="226" t="s">
        <v>9</v>
      </c>
      <c r="B11" s="80">
        <v>36343.86</v>
      </c>
      <c r="C11" s="80">
        <v>44165.45</v>
      </c>
      <c r="D11" s="80">
        <v>65816.74</v>
      </c>
      <c r="E11" s="112">
        <f>D11*(1+Parâmetros!C14)*(1+Parâmetros!C18)</f>
        <v>71594.33088742</v>
      </c>
      <c r="F11" s="112">
        <f>E11*(1+Parâmetros!D14)*(1+Parâmetros!D18)</f>
        <v>77764.33032329785</v>
      </c>
      <c r="G11" s="112">
        <f>F11*(1+Parâmetros!E14)*(1+Parâmetros!E18)</f>
        <v>84688.71514114132</v>
      </c>
      <c r="H11" s="112">
        <f>G11*(1+Parâmetros!F14)*(1+Parâmetros!F18)</f>
        <v>92541.73031874908</v>
      </c>
      <c r="I11" s="53"/>
    </row>
    <row r="12" spans="1:9" s="59" customFormat="1" ht="12.75" customHeight="1">
      <c r="A12" s="226" t="s">
        <v>239</v>
      </c>
      <c r="B12" s="80">
        <v>79565.92</v>
      </c>
      <c r="C12" s="80">
        <v>81704.67</v>
      </c>
      <c r="D12" s="80">
        <v>73747.73</v>
      </c>
      <c r="E12" s="112">
        <f>D12*(1+Parâmetros!C14)*(1+Parâmetros!C18)</f>
        <v>80221.52698259</v>
      </c>
      <c r="F12" s="112">
        <f>E12*(1+Parâmetros!D14)*(1+Parâmetros!D18)</f>
        <v>87135.01817794962</v>
      </c>
      <c r="G12" s="112">
        <f>F12*(1+Parâmetros!E14)*(1+Parâmetros!E18)</f>
        <v>94893.79902857241</v>
      </c>
      <c r="H12" s="112">
        <f>G12*(1+Parâmetros!F14)*(1+Parâmetros!F18)</f>
        <v>103693.11122489387</v>
      </c>
      <c r="I12" s="58"/>
    </row>
    <row r="13" spans="1:9" ht="12.75" customHeight="1">
      <c r="A13" s="226" t="s">
        <v>10</v>
      </c>
      <c r="B13" s="80">
        <v>173219.72</v>
      </c>
      <c r="C13" s="80">
        <v>696321.2</v>
      </c>
      <c r="D13" s="80">
        <v>503827</v>
      </c>
      <c r="E13" s="112">
        <f>D13*(1+Parâmetros!C14)*(1+Parâmetros!C18)</f>
        <v>548054.445541</v>
      </c>
      <c r="F13" s="112">
        <f>E13*(1+Parâmetros!D14)*(1+Parâmetros!D18)</f>
        <v>595285.7776577234</v>
      </c>
      <c r="G13" s="112">
        <f>F13*(1+Parâmetros!E14)*(1+Parâmetros!E18)</f>
        <v>648291.9282148556</v>
      </c>
      <c r="H13" s="112">
        <f>G13*(1+Parâmetros!F14)*(1+Parâmetros!F18)</f>
        <v>708406.7421343627</v>
      </c>
      <c r="I13" s="53"/>
    </row>
    <row r="14" spans="1:9" ht="12.75" customHeight="1">
      <c r="A14" s="226" t="s">
        <v>11</v>
      </c>
      <c r="B14" s="80">
        <v>126839.38</v>
      </c>
      <c r="C14" s="80">
        <v>124333.05</v>
      </c>
      <c r="D14" s="80">
        <v>131767.79</v>
      </c>
      <c r="E14" s="112">
        <f>D14*(1+Parâmetros!C14)*(1+Parâmetros!C18)</f>
        <v>143334.76190957002</v>
      </c>
      <c r="F14" s="112">
        <f>E14*(1+Parâmetros!D14)*(1+Parâmetros!D18)</f>
        <v>155687.35169093678</v>
      </c>
      <c r="G14" s="112">
        <f>F14*(1+Parâmetros!E14)*(1+Parâmetros!E18)</f>
        <v>169550.2516850232</v>
      </c>
      <c r="H14" s="112">
        <f>G14*(1+Parâmetros!F14)*(1+Parâmetros!F18)</f>
        <v>185272.30742327202</v>
      </c>
      <c r="I14" s="53"/>
    </row>
    <row r="15" spans="1:9" ht="12.75" customHeight="1">
      <c r="A15" s="191" t="s">
        <v>58</v>
      </c>
      <c r="B15" s="80">
        <v>48904.19</v>
      </c>
      <c r="C15" s="80">
        <v>45039.09</v>
      </c>
      <c r="D15" s="80">
        <v>24935.78</v>
      </c>
      <c r="E15" s="112">
        <f>D15*(1+Parâmetros!C14)*(1+Parâmetros!C18)</f>
        <v>27124.71757574</v>
      </c>
      <c r="F15" s="112">
        <f>E15*(1+Parâmetros!D14)*(1+Parâmetros!D18)</f>
        <v>29462.32573641727</v>
      </c>
      <c r="G15" s="112">
        <f>F15*(1+Parâmetros!E14)*(1+Parâmetros!E18)</f>
        <v>32085.74549943022</v>
      </c>
      <c r="H15" s="112">
        <f>G15*(1+Parâmetros!F14)*(1+Parâmetros!F18)</f>
        <v>35060.992508101386</v>
      </c>
      <c r="I15" s="53"/>
    </row>
    <row r="16" spans="1:9" ht="12.75" customHeight="1">
      <c r="A16" s="191" t="s">
        <v>121</v>
      </c>
      <c r="B16" s="80"/>
      <c r="C16" s="80"/>
      <c r="D16" s="80"/>
      <c r="E16" s="112">
        <f>D16*(1+Parâmetros!C14)*(1+Parâmetros!C18)</f>
        <v>0</v>
      </c>
      <c r="F16" s="112">
        <f>E16*(1+Parâmetros!D14)*(1+Parâmetros!D18)</f>
        <v>0</v>
      </c>
      <c r="G16" s="112">
        <f>F16*(1+Parâmetros!E14)*(1+Parâmetros!E18)</f>
        <v>0</v>
      </c>
      <c r="H16" s="112">
        <f>G16*(1+Parâmetros!F14)*(1+Parâmetros!F18)</f>
        <v>0</v>
      </c>
      <c r="I16" s="53"/>
    </row>
    <row r="17" spans="1:9" s="50" customFormat="1" ht="12.75" customHeight="1">
      <c r="A17" s="135" t="s">
        <v>59</v>
      </c>
      <c r="B17" s="111">
        <f>SUM(B18:B21)</f>
        <v>18315.57</v>
      </c>
      <c r="C17" s="111">
        <f aca="true" t="shared" si="5" ref="C17:H17">SUM(C18:C21)</f>
        <v>21054.59</v>
      </c>
      <c r="D17" s="111">
        <f t="shared" si="5"/>
        <v>0</v>
      </c>
      <c r="E17" s="111">
        <f t="shared" si="5"/>
        <v>0</v>
      </c>
      <c r="F17" s="111">
        <f t="shared" si="5"/>
        <v>0</v>
      </c>
      <c r="G17" s="111">
        <f t="shared" si="5"/>
        <v>0</v>
      </c>
      <c r="H17" s="111">
        <f t="shared" si="5"/>
        <v>0</v>
      </c>
      <c r="I17" s="56"/>
    </row>
    <row r="18" spans="1:9" ht="12.75" customHeight="1">
      <c r="A18" s="191" t="s">
        <v>129</v>
      </c>
      <c r="B18" s="80"/>
      <c r="C18" s="80"/>
      <c r="D18" s="80"/>
      <c r="E18" s="112">
        <f>D18*(1+Parâmetros!C14)*(1+Parâmetros!C16)*(1+Parâmetros!C20)</f>
        <v>0</v>
      </c>
      <c r="F18" s="112">
        <f>E18*(1+Parâmetros!D14)*(1+Parâmetros!D16)*(1+Parâmetros!D20)</f>
        <v>0</v>
      </c>
      <c r="G18" s="112">
        <f>F18*(1+Parâmetros!E14)*(1+Parâmetros!E16)*(1+Parâmetros!E20)</f>
        <v>0</v>
      </c>
      <c r="H18" s="112">
        <f>G18*(1+Parâmetros!F14)*(1+Parâmetros!F16)*(1+Parâmetros!F20)</f>
        <v>0</v>
      </c>
      <c r="I18" s="53"/>
    </row>
    <row r="19" spans="1:9" ht="12.75" customHeight="1">
      <c r="A19" s="191" t="s">
        <v>130</v>
      </c>
      <c r="B19" s="80"/>
      <c r="C19" s="80"/>
      <c r="D19" s="80"/>
      <c r="E19" s="112">
        <f>D19*(1+Parâmetros!C14)</f>
        <v>0</v>
      </c>
      <c r="F19" s="112">
        <f>E19*(1+Parâmetros!D14)</f>
        <v>0</v>
      </c>
      <c r="G19" s="112">
        <f>F19*(1+Parâmetros!E14)</f>
        <v>0</v>
      </c>
      <c r="H19" s="112">
        <f>G19*(1+Parâmetros!F14)</f>
        <v>0</v>
      </c>
      <c r="I19" s="53"/>
    </row>
    <row r="20" spans="1:9" ht="12.75" customHeight="1">
      <c r="A20" s="191" t="s">
        <v>131</v>
      </c>
      <c r="B20" s="80">
        <v>18315.57</v>
      </c>
      <c r="C20" s="80">
        <v>21054.59</v>
      </c>
      <c r="D20" s="80"/>
      <c r="E20" s="112">
        <f>D20*(1+Parâmetros!C14)*(1+Parâmetros!C15)</f>
        <v>0</v>
      </c>
      <c r="F20" s="112">
        <f>E20*(1+Parâmetros!D14)*(1+Parâmetros!D15)</f>
        <v>0</v>
      </c>
      <c r="G20" s="112">
        <f>F20*(1+Parâmetros!E14)*(1+Parâmetros!E15)</f>
        <v>0</v>
      </c>
      <c r="H20" s="112">
        <f>G20*(1+Parâmetros!F14)*(1+Parâmetros!F15)</f>
        <v>0</v>
      </c>
      <c r="I20" s="53"/>
    </row>
    <row r="21" spans="1:9" ht="12.75" customHeight="1">
      <c r="A21" s="191" t="s">
        <v>60</v>
      </c>
      <c r="B21" s="80"/>
      <c r="C21" s="80"/>
      <c r="D21" s="80"/>
      <c r="E21" s="112">
        <f>D21*(1+Parâmetros!C14)</f>
        <v>0</v>
      </c>
      <c r="F21" s="112">
        <f>E21*(1+Parâmetros!D14)</f>
        <v>0</v>
      </c>
      <c r="G21" s="112">
        <f>F21*(1+Parâmetros!E14)</f>
        <v>0</v>
      </c>
      <c r="H21" s="112">
        <f>G21*(1+Parâmetros!F14)</f>
        <v>0</v>
      </c>
      <c r="I21" s="53"/>
    </row>
    <row r="22" spans="1:9" s="50" customFormat="1" ht="12.75" customHeight="1">
      <c r="A22" s="135" t="s">
        <v>61</v>
      </c>
      <c r="B22" s="111">
        <f>+B23+B31</f>
        <v>125397.37</v>
      </c>
      <c r="C22" s="111">
        <f aca="true" t="shared" si="6" ref="C22:H22">+C23+C31</f>
        <v>64098.170000000006</v>
      </c>
      <c r="D22" s="111">
        <f t="shared" si="6"/>
        <v>17039.73</v>
      </c>
      <c r="E22" s="111">
        <f t="shared" si="6"/>
        <v>18647.1017034786</v>
      </c>
      <c r="F22" s="111">
        <f t="shared" si="6"/>
        <v>20360.089730816107</v>
      </c>
      <c r="G22" s="111">
        <f t="shared" si="6"/>
        <v>22209.401567487672</v>
      </c>
      <c r="H22" s="111">
        <f t="shared" si="6"/>
        <v>24278.16912332845</v>
      </c>
      <c r="I22" s="56"/>
    </row>
    <row r="23" spans="1:9" ht="12.75" customHeight="1">
      <c r="A23" s="191" t="s">
        <v>132</v>
      </c>
      <c r="B23" s="112">
        <f aca="true" t="shared" si="7" ref="B23:H23">SUM(B24:B30)</f>
        <v>123681.95999999999</v>
      </c>
      <c r="C23" s="112">
        <f t="shared" si="7"/>
        <v>64098.170000000006</v>
      </c>
      <c r="D23" s="112">
        <f t="shared" si="7"/>
        <v>17039.73</v>
      </c>
      <c r="E23" s="112">
        <f t="shared" si="7"/>
        <v>18647.1017034786</v>
      </c>
      <c r="F23" s="112">
        <f t="shared" si="7"/>
        <v>20360.089730816107</v>
      </c>
      <c r="G23" s="112">
        <f t="shared" si="7"/>
        <v>22209.401567487672</v>
      </c>
      <c r="H23" s="112">
        <f t="shared" si="7"/>
        <v>24278.16912332845</v>
      </c>
      <c r="I23" s="53"/>
    </row>
    <row r="24" spans="1:9" ht="12.75" customHeight="1">
      <c r="A24" s="226" t="s">
        <v>175</v>
      </c>
      <c r="B24" s="80">
        <v>6255.71</v>
      </c>
      <c r="C24" s="80">
        <v>2032.18</v>
      </c>
      <c r="D24" s="80">
        <v>2729.08</v>
      </c>
      <c r="E24" s="112">
        <f>D24*(1+Parâmetros!C14)*(1+Parâmetros!C15)</f>
        <v>2986.5163542456</v>
      </c>
      <c r="F24" s="112">
        <f>E24*(1+Parâmetros!D14)*(1+Parâmetros!D15)</f>
        <v>3260.868199353841</v>
      </c>
      <c r="G24" s="112">
        <f>F24*(1+Parâmetros!E14)*(1+Parâmetros!E15)</f>
        <v>3557.0536405095186</v>
      </c>
      <c r="H24" s="112">
        <f>G24*(1+Parâmetros!F14)*(1+Parâmetros!F15)</f>
        <v>3888.3870689907185</v>
      </c>
      <c r="I24" s="53"/>
    </row>
    <row r="25" spans="1:9" ht="12.75" customHeight="1">
      <c r="A25" s="226" t="s">
        <v>161</v>
      </c>
      <c r="B25" s="80">
        <v>8971.15</v>
      </c>
      <c r="C25" s="80">
        <v>3560.22</v>
      </c>
      <c r="D25" s="80">
        <v>1443.05</v>
      </c>
      <c r="E25" s="112">
        <f>D25*(1+Parâmetros!C14)*(1+Parâmetros!C15)</f>
        <v>1579.174089801</v>
      </c>
      <c r="F25" s="112">
        <f>E25*(1+Parâmetros!D14)*(1+Parâmetros!D15)</f>
        <v>1724.2425487994344</v>
      </c>
      <c r="G25" s="112">
        <f>F25*(1+Parâmetros!E14)*(1+Parâmetros!E15)</f>
        <v>1880.8559133250988</v>
      </c>
      <c r="H25" s="112">
        <f>G25*(1+Parâmetros!F14)*(1+Parâmetros!F15)</f>
        <v>2056.054406579161</v>
      </c>
      <c r="I25" s="53"/>
    </row>
    <row r="26" spans="1:9" ht="12.75" customHeight="1">
      <c r="A26" s="226" t="s">
        <v>158</v>
      </c>
      <c r="B26" s="80">
        <v>6966.11</v>
      </c>
      <c r="C26" s="80">
        <v>3967.81</v>
      </c>
      <c r="D26" s="80">
        <v>1970.94</v>
      </c>
      <c r="E26" s="112">
        <f>D26*(1+Parâmetros!C14)*(1+Parâmetros!C15)</f>
        <v>2156.8603863708004</v>
      </c>
      <c r="F26" s="112">
        <f>E26*(1+Parâmetros!D14)*(1+Parâmetros!D15)</f>
        <v>2354.997130474175</v>
      </c>
      <c r="G26" s="112">
        <f>F26*(1+Parâmetros!E14)*(1+Parâmetros!E15)</f>
        <v>2568.9020850344555</v>
      </c>
      <c r="H26" s="112">
        <f>G26*(1+Parâmetros!F14)*(1+Parâmetros!F15)</f>
        <v>2808.1908957438286</v>
      </c>
      <c r="I26" s="53"/>
    </row>
    <row r="27" spans="1:9" ht="12.75" customHeight="1">
      <c r="A27" s="226" t="s">
        <v>156</v>
      </c>
      <c r="B27" s="80">
        <v>5576.44</v>
      </c>
      <c r="C27" s="80">
        <v>2780.01</v>
      </c>
      <c r="D27" s="80"/>
      <c r="E27" s="112">
        <f>D27*(1+Parâmetros!C14)*(1+Parâmetros!C15)</f>
        <v>0</v>
      </c>
      <c r="F27" s="112">
        <f>E27*(1+Parâmetros!D14)*(1+Parâmetros!D15)</f>
        <v>0</v>
      </c>
      <c r="G27" s="112">
        <f>F27*(1+Parâmetros!E14)*(1+Parâmetros!E15)</f>
        <v>0</v>
      </c>
      <c r="H27" s="112">
        <f>G27*(1+Parâmetros!F14)*(1+Parâmetros!F15)</f>
        <v>0</v>
      </c>
      <c r="I27" s="53"/>
    </row>
    <row r="28" spans="1:9" ht="12.75" customHeight="1">
      <c r="A28" s="226" t="s">
        <v>160</v>
      </c>
      <c r="B28" s="80"/>
      <c r="C28" s="80"/>
      <c r="D28" s="80"/>
      <c r="E28" s="112">
        <f>D28*(1+Parâmetros!C14)*(1+Parâmetros!C15)</f>
        <v>0</v>
      </c>
      <c r="F28" s="112">
        <f>E28*(1+Parâmetros!D14)*(1+Parâmetros!D15)</f>
        <v>0</v>
      </c>
      <c r="G28" s="112">
        <f>F28*(1+Parâmetros!E14)*(1+Parâmetros!E15)</f>
        <v>0</v>
      </c>
      <c r="H28" s="112">
        <f>G28*(1+Parâmetros!F14)*(1+Parâmetros!F15)</f>
        <v>0</v>
      </c>
      <c r="I28" s="53"/>
    </row>
    <row r="29" spans="1:9" ht="12.75" customHeight="1">
      <c r="A29" s="226" t="s">
        <v>157</v>
      </c>
      <c r="B29" s="80">
        <v>59901.49</v>
      </c>
      <c r="C29" s="80">
        <v>41030.76</v>
      </c>
      <c r="D29" s="80"/>
      <c r="E29" s="112">
        <f>D29*(1+Parâmetros!C14)*(1+Parâmetros!C15)</f>
        <v>0</v>
      </c>
      <c r="F29" s="112">
        <f>E29*(1+Parâmetros!D14)*(1+Parâmetros!D15)</f>
        <v>0</v>
      </c>
      <c r="G29" s="112">
        <f>F29*(1+Parâmetros!E14)*(1+Parâmetros!E15)</f>
        <v>0</v>
      </c>
      <c r="H29" s="112">
        <f>G29*(1+Parâmetros!F14)*(1+Parâmetros!F15)</f>
        <v>0</v>
      </c>
      <c r="I29" s="53"/>
    </row>
    <row r="30" spans="1:9" ht="12.75" customHeight="1">
      <c r="A30" s="226" t="s">
        <v>159</v>
      </c>
      <c r="B30" s="80">
        <v>36011.06</v>
      </c>
      <c r="C30" s="80">
        <v>10727.19</v>
      </c>
      <c r="D30" s="80">
        <v>10896.66</v>
      </c>
      <c r="E30" s="112">
        <f>D30*(1+Parâmetros!C14)*(1+Parâmetros!C15)</f>
        <v>11924.5508730612</v>
      </c>
      <c r="F30" s="112">
        <f>E30*(1+Parâmetros!D14)*(1+Parâmetros!D15)</f>
        <v>13019.98185218866</v>
      </c>
      <c r="G30" s="112">
        <f>F30*(1+Parâmetros!E14)*(1+Parâmetros!E15)</f>
        <v>14202.5899286186</v>
      </c>
      <c r="H30" s="112">
        <f>G30*(1+Parâmetros!F14)*(1+Parâmetros!F15)</f>
        <v>15525.536752014745</v>
      </c>
      <c r="I30" s="53"/>
    </row>
    <row r="31" spans="1:9" ht="12.75" customHeight="1">
      <c r="A31" s="191" t="s">
        <v>62</v>
      </c>
      <c r="B31" s="80">
        <v>1715.41</v>
      </c>
      <c r="C31" s="80"/>
      <c r="D31" s="80"/>
      <c r="E31" s="112">
        <f>D31*(1+Parâmetros!C14)</f>
        <v>0</v>
      </c>
      <c r="F31" s="112">
        <f>E31*(1+Parâmetros!D14)</f>
        <v>0</v>
      </c>
      <c r="G31" s="112">
        <f>F31*(1+Parâmetros!E14)</f>
        <v>0</v>
      </c>
      <c r="H31" s="112">
        <f>G31*(1+Parâmetros!F14)</f>
        <v>0</v>
      </c>
      <c r="I31" s="53"/>
    </row>
    <row r="32" spans="1:9" s="50" customFormat="1" ht="12.75" customHeight="1">
      <c r="A32" s="135" t="s">
        <v>54</v>
      </c>
      <c r="B32" s="81"/>
      <c r="C32" s="81"/>
      <c r="D32" s="81"/>
      <c r="E32" s="111">
        <f>D32*(1+Parâmetros!C14)*(1+Parâmetros!C18)</f>
        <v>0</v>
      </c>
      <c r="F32" s="111">
        <f>E32*(1+Parâmetros!D14)*(1+Parâmetros!D18)</f>
        <v>0</v>
      </c>
      <c r="G32" s="111">
        <f>F32*(1+Parâmetros!E14)*(1+Parâmetros!E18)</f>
        <v>0</v>
      </c>
      <c r="H32" s="111">
        <f>G32*(1+Parâmetros!F14)*(1+Parâmetros!F18)</f>
        <v>0</v>
      </c>
      <c r="I32" s="56"/>
    </row>
    <row r="33" spans="1:9" s="50" customFormat="1" ht="12.75" customHeight="1">
      <c r="A33" s="135" t="s">
        <v>52</v>
      </c>
      <c r="B33" s="81"/>
      <c r="C33" s="81"/>
      <c r="D33" s="81"/>
      <c r="E33" s="111">
        <f>D33*(1+Parâmetros!C14)*(1+Parâmetros!C18)</f>
        <v>0</v>
      </c>
      <c r="F33" s="111">
        <f>E33*(1+Parâmetros!D14)*(1+Parâmetros!D18)</f>
        <v>0</v>
      </c>
      <c r="G33" s="111">
        <f>F33*(1+Parâmetros!E14)*(1+Parâmetros!E18)</f>
        <v>0</v>
      </c>
      <c r="H33" s="111">
        <f>G33*(1+Parâmetros!F14)*(1+Parâmetros!F18)</f>
        <v>0</v>
      </c>
      <c r="I33" s="56"/>
    </row>
    <row r="34" spans="1:9" s="50" customFormat="1" ht="12.75" customHeight="1">
      <c r="A34" s="135" t="s">
        <v>53</v>
      </c>
      <c r="B34" s="111">
        <f>SUM(B35:B36)</f>
        <v>6034.23</v>
      </c>
      <c r="C34" s="111">
        <f aca="true" t="shared" si="8" ref="C34:H34">SUM(C35:C36)</f>
        <v>20925.42</v>
      </c>
      <c r="D34" s="111">
        <f t="shared" si="8"/>
        <v>29295.58</v>
      </c>
      <c r="E34" s="111">
        <f t="shared" si="8"/>
        <v>30939.062038000004</v>
      </c>
      <c r="F34" s="111">
        <f t="shared" si="8"/>
        <v>32563.362794995002</v>
      </c>
      <c r="G34" s="111">
        <f t="shared" si="8"/>
        <v>34230.60697009874</v>
      </c>
      <c r="H34" s="111">
        <f t="shared" si="8"/>
        <v>35966.09874348275</v>
      </c>
      <c r="I34" s="56"/>
    </row>
    <row r="35" spans="1:9" ht="12.75" customHeight="1">
      <c r="A35" s="227" t="s">
        <v>107</v>
      </c>
      <c r="B35" s="82"/>
      <c r="C35" s="82"/>
      <c r="D35" s="82"/>
      <c r="E35" s="173">
        <f>D35*(1+Parâmetros!C14)</f>
        <v>0</v>
      </c>
      <c r="F35" s="173">
        <f>E35*(1+Parâmetros!D14)</f>
        <v>0</v>
      </c>
      <c r="G35" s="173">
        <f>F35*(1+Parâmetros!E14)</f>
        <v>0</v>
      </c>
      <c r="H35" s="173">
        <f>G35*(1+Parâmetros!F14)</f>
        <v>0</v>
      </c>
      <c r="I35" s="53"/>
    </row>
    <row r="36" spans="1:9" ht="12.75" customHeight="1">
      <c r="A36" s="228" t="s">
        <v>108</v>
      </c>
      <c r="B36" s="83">
        <v>6034.23</v>
      </c>
      <c r="C36" s="83">
        <v>20925.42</v>
      </c>
      <c r="D36" s="83">
        <v>29295.58</v>
      </c>
      <c r="E36" s="175">
        <f>D36*(1+Parâmetros!C14)</f>
        <v>30939.062038000004</v>
      </c>
      <c r="F36" s="175">
        <f>E36*(1+Parâmetros!D14)</f>
        <v>32563.362794995002</v>
      </c>
      <c r="G36" s="175">
        <f>F36*(1+Parâmetros!E14)</f>
        <v>34230.60697009874</v>
      </c>
      <c r="H36" s="175">
        <f>G36*(1+Parâmetros!F14)</f>
        <v>35966.09874348275</v>
      </c>
      <c r="I36" s="53"/>
    </row>
    <row r="37" spans="1:9" s="50" customFormat="1" ht="12.75" customHeight="1">
      <c r="A37" s="135" t="s">
        <v>39</v>
      </c>
      <c r="B37" s="111">
        <f aca="true" t="shared" si="9" ref="B37:H37">B38+B62+B69</f>
        <v>13756597.02</v>
      </c>
      <c r="C37" s="111">
        <f t="shared" si="9"/>
        <v>15176553.73</v>
      </c>
      <c r="D37" s="111">
        <f t="shared" si="9"/>
        <v>14304269.83</v>
      </c>
      <c r="E37" s="111">
        <f t="shared" si="9"/>
        <v>16369267.773697354</v>
      </c>
      <c r="F37" s="111">
        <f t="shared" si="9"/>
        <v>18823071.378167216</v>
      </c>
      <c r="G37" s="111">
        <f t="shared" si="9"/>
        <v>21737450.943199113</v>
      </c>
      <c r="H37" s="111">
        <f t="shared" si="9"/>
        <v>25139118.730912756</v>
      </c>
      <c r="I37" s="56"/>
    </row>
    <row r="38" spans="1:9" ht="12.75" customHeight="1">
      <c r="A38" s="191" t="s">
        <v>117</v>
      </c>
      <c r="B38" s="112">
        <f aca="true" t="shared" si="10" ref="B38:H38">B39+B49+B57+B60</f>
        <v>13592486.66</v>
      </c>
      <c r="C38" s="112">
        <f t="shared" si="10"/>
        <v>14791915.09</v>
      </c>
      <c r="D38" s="112">
        <f t="shared" si="10"/>
        <v>14064269.83</v>
      </c>
      <c r="E38" s="112">
        <f t="shared" si="10"/>
        <v>16115803.773697354</v>
      </c>
      <c r="F38" s="112">
        <f t="shared" si="10"/>
        <v>18556300.518167216</v>
      </c>
      <c r="G38" s="112">
        <f t="shared" si="10"/>
        <v>21457021.415167112</v>
      </c>
      <c r="H38" s="112">
        <f t="shared" si="10"/>
        <v>24844471.425809532</v>
      </c>
      <c r="I38" s="53"/>
    </row>
    <row r="39" spans="1:9" ht="12.75" customHeight="1">
      <c r="A39" s="229" t="s">
        <v>118</v>
      </c>
      <c r="B39" s="111">
        <f>SUM(B40:B48)</f>
        <v>6649127.249999999</v>
      </c>
      <c r="C39" s="111">
        <f aca="true" t="shared" si="11" ref="C39:H39">SUM(C40:C48)</f>
        <v>7299428.63</v>
      </c>
      <c r="D39" s="111">
        <f t="shared" si="11"/>
        <v>6660074.28</v>
      </c>
      <c r="E39" s="111">
        <f t="shared" si="11"/>
        <v>7631569.32511218</v>
      </c>
      <c r="F39" s="111">
        <f t="shared" si="11"/>
        <v>8787256.025860546</v>
      </c>
      <c r="G39" s="111">
        <f t="shared" si="11"/>
        <v>10160879.887823066</v>
      </c>
      <c r="H39" s="111">
        <f t="shared" si="11"/>
        <v>11764992.220945537</v>
      </c>
      <c r="I39" s="53"/>
    </row>
    <row r="40" spans="1:9" s="59" customFormat="1" ht="12.75" customHeight="1">
      <c r="A40" s="230" t="s">
        <v>64</v>
      </c>
      <c r="B40" s="80">
        <v>5293193.59</v>
      </c>
      <c r="C40" s="80">
        <v>5464630.84</v>
      </c>
      <c r="D40" s="80">
        <v>5441865.19</v>
      </c>
      <c r="E40" s="112">
        <f>D40*(1+Parâmetros!C14)*(1+Parâmetros!C19)</f>
        <v>6235661.902467515</v>
      </c>
      <c r="F40" s="112">
        <f>E40*(1+Parâmetros!D14)*(1+Parâmetros!D19)</f>
        <v>7179959.362667684</v>
      </c>
      <c r="G40" s="112">
        <f>F40*(1+Parâmetros!E14)*(1+Parâmetros!E19)</f>
        <v>8302330.610239897</v>
      </c>
      <c r="H40" s="112">
        <f>G40*(1+Parâmetros!F14)*(1+Parâmetros!F19)</f>
        <v>9613031.166941324</v>
      </c>
      <c r="I40" s="58"/>
    </row>
    <row r="41" spans="1:9" s="59" customFormat="1" ht="12.75" customHeight="1">
      <c r="A41" s="230" t="s">
        <v>63</v>
      </c>
      <c r="B41" s="80">
        <v>520582.78</v>
      </c>
      <c r="C41" s="80">
        <v>537069.67</v>
      </c>
      <c r="D41" s="80">
        <v>228780.7</v>
      </c>
      <c r="E41" s="112">
        <f>D41*(1+Parâmetros!C14)*(1+Parâmetros!C19)</f>
        <v>262152.59753795003</v>
      </c>
      <c r="F41" s="112">
        <f>E41*(1+Parâmetros!D14)*(1+Parâmetros!D19)</f>
        <v>301851.67614610953</v>
      </c>
      <c r="G41" s="112">
        <f>F41*(1+Parâmetros!E14)*(1+Parâmetros!E19)</f>
        <v>349037.1301612694</v>
      </c>
      <c r="H41" s="112">
        <f>G41*(1+Parâmetros!F14)*(1+Parâmetros!F19)</f>
        <v>404140.11055181123</v>
      </c>
      <c r="I41" s="58"/>
    </row>
    <row r="42" spans="1:9" s="59" customFormat="1" ht="12.75" customHeight="1">
      <c r="A42" s="230" t="s">
        <v>133</v>
      </c>
      <c r="B42" s="80"/>
      <c r="C42" s="80"/>
      <c r="D42" s="80"/>
      <c r="E42" s="112">
        <f>D42*(1+Parâmetros!C14)*(1+Parâmetros!C19)</f>
        <v>0</v>
      </c>
      <c r="F42" s="112">
        <f>E42*(1+Parâmetros!D14)*(1+Parâmetros!D19)</f>
        <v>0</v>
      </c>
      <c r="G42" s="112">
        <f>F42*(1+Parâmetros!E14)*(1+Parâmetros!E19)</f>
        <v>0</v>
      </c>
      <c r="H42" s="112">
        <f>G42*(1+Parâmetros!F14)*(1+Parâmetros!F19)</f>
        <v>0</v>
      </c>
      <c r="I42" s="58"/>
    </row>
    <row r="43" spans="1:9" s="59" customFormat="1" ht="12.75" customHeight="1">
      <c r="A43" s="230" t="s">
        <v>119</v>
      </c>
      <c r="B43" s="80">
        <v>310622.47</v>
      </c>
      <c r="C43" s="80">
        <v>389230.52</v>
      </c>
      <c r="D43" s="80">
        <v>439461</v>
      </c>
      <c r="E43" s="112">
        <f>D43*(1+Parâmetros!C14)*(1+Parâmetros!C19)</f>
        <v>503564.5168785</v>
      </c>
      <c r="F43" s="112">
        <f>E43*(1+Parâmetros!D14)*(1+Parâmetros!D19)</f>
        <v>579821.8094919957</v>
      </c>
      <c r="G43" s="112">
        <f>F43*(1+Parâmetros!E14)*(1+Parâmetros!E19)</f>
        <v>670459.5547517845</v>
      </c>
      <c r="H43" s="112">
        <f>G43*(1+Parâmetros!F14)*(1+Parâmetros!F19)</f>
        <v>776305.9433038255</v>
      </c>
      <c r="I43" s="58"/>
    </row>
    <row r="44" spans="1:9" s="59" customFormat="1" ht="12.75" customHeight="1">
      <c r="A44" s="230" t="s">
        <v>109</v>
      </c>
      <c r="B44" s="80">
        <v>160837.5</v>
      </c>
      <c r="C44" s="80">
        <v>196885.69</v>
      </c>
      <c r="D44" s="80">
        <v>184500</v>
      </c>
      <c r="E44" s="112">
        <f>D44*(1+Parâmetros!C14)*(1+Parâmetros!C19)</f>
        <v>211412.73825</v>
      </c>
      <c r="F44" s="112">
        <f>E44*(1+Parâmetros!D14)*(1+Parâmetros!D19)</f>
        <v>243428.02626688874</v>
      </c>
      <c r="G44" s="112">
        <f>F44*(1+Parâmetros!E14)*(1+Parâmetros!E19)</f>
        <v>281480.6953329288</v>
      </c>
      <c r="H44" s="112">
        <f>G44*(1+Parâmetros!F14)*(1+Parâmetros!F19)</f>
        <v>325918.44677811174</v>
      </c>
      <c r="I44" s="58"/>
    </row>
    <row r="45" spans="1:9" s="59" customFormat="1" ht="12.75" customHeight="1">
      <c r="A45" s="230" t="s">
        <v>110</v>
      </c>
      <c r="B45" s="80">
        <v>211052.34</v>
      </c>
      <c r="C45" s="80">
        <v>558888.63</v>
      </c>
      <c r="D45" s="80">
        <v>238021.6</v>
      </c>
      <c r="E45" s="112">
        <f>D45*(1+Parâmetros!C14)*(1+Parâmetros!C19)</f>
        <v>272741.4537596</v>
      </c>
      <c r="F45" s="112">
        <f>E45*(1+Parâmetros!D14)*(1+Parâmetros!D19)</f>
        <v>314044.055809685</v>
      </c>
      <c r="G45" s="112">
        <f>F45*(1+Parâmetros!E14)*(1+Parâmetros!E19)</f>
        <v>363135.42261385504</v>
      </c>
      <c r="H45" s="112">
        <f>G45*(1+Parâmetros!F14)*(1+Parâmetros!F19)</f>
        <v>420464.120171496</v>
      </c>
      <c r="I45" s="58"/>
    </row>
    <row r="46" spans="1:9" s="59" customFormat="1" ht="12.75" customHeight="1">
      <c r="A46" s="230" t="s">
        <v>111</v>
      </c>
      <c r="B46" s="80">
        <v>48856.56</v>
      </c>
      <c r="C46" s="80">
        <v>42292.25</v>
      </c>
      <c r="D46" s="80">
        <v>43061.2</v>
      </c>
      <c r="E46" s="112">
        <f>D46*(1+Parâmetros!C14)*(1+Parâmetros!C19)</f>
        <v>49342.47265219999</v>
      </c>
      <c r="F46" s="112">
        <f>E46*(1+Parâmetros!D14)*(1+Parâmetros!D19)</f>
        <v>56814.6499982859</v>
      </c>
      <c r="G46" s="112">
        <f>F46*(1+Parâmetros!E14)*(1+Parâmetros!E19)</f>
        <v>65695.91608601795</v>
      </c>
      <c r="H46" s="112">
        <f>G46*(1+Parâmetros!F14)*(1+Parâmetros!F19)</f>
        <v>76067.42233280012</v>
      </c>
      <c r="I46" s="58"/>
    </row>
    <row r="47" spans="1:9" s="59" customFormat="1" ht="12.75" customHeight="1">
      <c r="A47" s="230" t="s">
        <v>134</v>
      </c>
      <c r="B47" s="80">
        <v>66643.71</v>
      </c>
      <c r="C47" s="80">
        <v>80409.48</v>
      </c>
      <c r="D47" s="80">
        <v>84384.59</v>
      </c>
      <c r="E47" s="112">
        <f>D47*(1+Parâmetros!C14)*(1+Parâmetros!C19)</f>
        <v>96693.643566415</v>
      </c>
      <c r="F47" s="112">
        <f>E47*(1+Parâmetros!D14)*(1+Parâmetros!D19)</f>
        <v>111336.44547989508</v>
      </c>
      <c r="G47" s="112">
        <f>F47*(1+Parâmetros!E14)*(1+Parâmetros!E19)</f>
        <v>128740.55863731228</v>
      </c>
      <c r="H47" s="112">
        <f>G47*(1+Parâmetros!F14)*(1+Parâmetros!F19)</f>
        <v>149065.01086616688</v>
      </c>
      <c r="I47" s="58"/>
    </row>
    <row r="48" spans="1:9" s="59" customFormat="1" ht="12.75" customHeight="1">
      <c r="A48" s="230" t="s">
        <v>113</v>
      </c>
      <c r="B48" s="80">
        <v>37338.3</v>
      </c>
      <c r="C48" s="80">
        <v>30021.55</v>
      </c>
      <c r="D48" s="80"/>
      <c r="E48" s="112">
        <f>D48*(1+Parâmetros!C14)*(1+Parâmetros!C19)</f>
        <v>0</v>
      </c>
      <c r="F48" s="112">
        <f>E48*(1+Parâmetros!D14)*(1+Parâmetros!D19)</f>
        <v>0</v>
      </c>
      <c r="G48" s="112">
        <f>F48*(1+Parâmetros!E14)*(1+Parâmetros!E19)</f>
        <v>0</v>
      </c>
      <c r="H48" s="112">
        <f>G48*(1+Parâmetros!F14)*(1+Parâmetros!F19)</f>
        <v>0</v>
      </c>
      <c r="I48" s="58"/>
    </row>
    <row r="49" spans="1:9" ht="12.75" customHeight="1">
      <c r="A49" s="229" t="s">
        <v>114</v>
      </c>
      <c r="B49" s="111">
        <f>SUM(B50:B56)</f>
        <v>5204984.43</v>
      </c>
      <c r="C49" s="111">
        <f aca="true" t="shared" si="12" ref="C49:H49">SUM(C50:C56)</f>
        <v>5545989.140000001</v>
      </c>
      <c r="D49" s="111">
        <f t="shared" si="12"/>
        <v>5409263.7299999995</v>
      </c>
      <c r="E49" s="111">
        <f t="shared" si="12"/>
        <v>6198304.916399504</v>
      </c>
      <c r="F49" s="111">
        <f t="shared" si="12"/>
        <v>7136945.2214144645</v>
      </c>
      <c r="G49" s="111">
        <f t="shared" si="12"/>
        <v>8252592.498425972</v>
      </c>
      <c r="H49" s="111">
        <f t="shared" si="12"/>
        <v>9555440.82978198</v>
      </c>
      <c r="I49" s="53"/>
    </row>
    <row r="50" spans="1:9" ht="12.75" customHeight="1">
      <c r="A50" s="230" t="s">
        <v>65</v>
      </c>
      <c r="B50" s="80">
        <v>4861641.52</v>
      </c>
      <c r="C50" s="80">
        <v>5007870.07</v>
      </c>
      <c r="D50" s="80">
        <v>4911127.31</v>
      </c>
      <c r="E50" s="112">
        <f>D50*(1+Parâmetros!C14)*(1+Parâmetros!C19)</f>
        <v>5627506.084018734</v>
      </c>
      <c r="F50" s="112">
        <f>E50*(1+Parâmetros!D14)*(1+Parâmetros!D19)</f>
        <v>6479707.467852112</v>
      </c>
      <c r="G50" s="112">
        <f>F50*(1+Parâmetros!E14)*(1+Parâmetros!E19)</f>
        <v>7492615.339226753</v>
      </c>
      <c r="H50" s="112">
        <f>G50*(1+Parâmetros!F14)*(1+Parâmetros!F19)</f>
        <v>8675485.012491956</v>
      </c>
      <c r="I50" s="53"/>
    </row>
    <row r="51" spans="1:9" ht="12.75" customHeight="1">
      <c r="A51" s="230" t="s">
        <v>6</v>
      </c>
      <c r="B51" s="80">
        <v>62269.43</v>
      </c>
      <c r="C51" s="80">
        <v>71570.23</v>
      </c>
      <c r="D51" s="80">
        <v>82814.09</v>
      </c>
      <c r="E51" s="112">
        <f>D51*(1+Parâmetros!C14)*(1+Parâmetros!C19)</f>
        <v>94894.057087165</v>
      </c>
      <c r="F51" s="112">
        <f>E51*(1+Parâmetros!D14)*(1+Parâmetros!D19)</f>
        <v>109264.33862215985</v>
      </c>
      <c r="G51" s="112">
        <f>F51*(1+Parâmetros!E14)*(1+Parâmetros!E19)</f>
        <v>126344.54003557588</v>
      </c>
      <c r="H51" s="112">
        <f>G51*(1+Parâmetros!F14)*(1+Parâmetros!F19)</f>
        <v>146290.7294533483</v>
      </c>
      <c r="I51" s="53"/>
    </row>
    <row r="52" spans="1:9" s="59" customFormat="1" ht="12.75" customHeight="1">
      <c r="A52" s="230" t="s">
        <v>66</v>
      </c>
      <c r="B52" s="80">
        <v>118699.06</v>
      </c>
      <c r="C52" s="80">
        <v>92239.15</v>
      </c>
      <c r="D52" s="80">
        <v>97898.38</v>
      </c>
      <c r="E52" s="112">
        <f>D52*(1+Parâmetros!C14)*(1+Parâmetros!C19)</f>
        <v>112178.66984303</v>
      </c>
      <c r="F52" s="112">
        <f>E52*(1+Parâmetros!D14)*(1+Parâmetros!D19)</f>
        <v>129166.44671070926</v>
      </c>
      <c r="G52" s="112">
        <f>F52*(1+Parâmetros!E14)*(1+Parâmetros!E19)</f>
        <v>149357.74566052732</v>
      </c>
      <c r="H52" s="112">
        <f>G52*(1+Parâmetros!F14)*(1+Parâmetros!F19)</f>
        <v>172937.0620687987</v>
      </c>
      <c r="I52" s="58"/>
    </row>
    <row r="53" spans="1:9" ht="12.75" customHeight="1">
      <c r="A53" s="230" t="s">
        <v>119</v>
      </c>
      <c r="B53" s="80">
        <v>10150.83</v>
      </c>
      <c r="C53" s="80">
        <v>29492.56</v>
      </c>
      <c r="D53" s="80">
        <v>7200</v>
      </c>
      <c r="E53" s="112">
        <f>D53*(1+Parâmetros!C14)*(1+Parâmetros!C19)</f>
        <v>8250.2532</v>
      </c>
      <c r="F53" s="112">
        <f>E53*(1+Parâmetros!D14)*(1+Parâmetros!D19)</f>
        <v>9499.630293342</v>
      </c>
      <c r="G53" s="112">
        <f>F53*(1+Parâmetros!E14)*(1+Parâmetros!E19)</f>
        <v>10984.61250079722</v>
      </c>
      <c r="H53" s="112">
        <f>G53*(1+Parâmetros!F14)*(1+Parâmetros!F19)</f>
        <v>12718.76865475558</v>
      </c>
      <c r="I53" s="53"/>
    </row>
    <row r="54" spans="1:9" ht="12.75" customHeight="1">
      <c r="A54" s="230" t="s">
        <v>135</v>
      </c>
      <c r="B54" s="80"/>
      <c r="C54" s="80"/>
      <c r="D54" s="80"/>
      <c r="E54" s="112">
        <f>D54*(1+Parâmetros!C14)*(1+Parâmetros!C19)</f>
        <v>0</v>
      </c>
      <c r="F54" s="112">
        <f>E54*(1+Parâmetros!D14)*(1+Parâmetros!D19)</f>
        <v>0</v>
      </c>
      <c r="G54" s="112">
        <f>F54*(1+Parâmetros!E14)*(1+Parâmetros!E19)</f>
        <v>0</v>
      </c>
      <c r="H54" s="112">
        <f>G54*(1+Parâmetros!F14)*(1+Parâmetros!F19)</f>
        <v>0</v>
      </c>
      <c r="I54" s="53"/>
    </row>
    <row r="55" spans="1:9" ht="12.75" customHeight="1">
      <c r="A55" s="230" t="s">
        <v>136</v>
      </c>
      <c r="B55" s="80">
        <v>21850.15</v>
      </c>
      <c r="C55" s="80">
        <v>11648.13</v>
      </c>
      <c r="D55" s="80">
        <v>10773.95</v>
      </c>
      <c r="E55" s="112">
        <f>D55*(1+Parâmetros!C14)*(1+Parâmetros!C19)</f>
        <v>12345.529925575001</v>
      </c>
      <c r="F55" s="112">
        <f>E55*(1+Parâmetros!D14)*(1+Parâmetros!D19)</f>
        <v>14215.075249854453</v>
      </c>
      <c r="G55" s="112">
        <f>F55*(1+Parâmetros!E14)*(1+Parâmetros!E19)</f>
        <v>16437.1758129117</v>
      </c>
      <c r="H55" s="112">
        <f>G55*(1+Parâmetros!F14)*(1+Parâmetros!F19)</f>
        <v>19032.13577054221</v>
      </c>
      <c r="I55" s="53"/>
    </row>
    <row r="56" spans="1:9" ht="12.75" customHeight="1">
      <c r="A56" s="230" t="s">
        <v>115</v>
      </c>
      <c r="B56" s="80">
        <v>130373.44</v>
      </c>
      <c r="C56" s="80">
        <v>333169</v>
      </c>
      <c r="D56" s="80">
        <v>299450</v>
      </c>
      <c r="E56" s="112">
        <f>D56*(1+Parâmetros!C14)*(1+Parâmetros!C19)</f>
        <v>343130.322325</v>
      </c>
      <c r="F56" s="112">
        <f>E56*(1+Parâmetros!D14)*(1+Parâmetros!D19)</f>
        <v>395092.2626862864</v>
      </c>
      <c r="G56" s="112">
        <f>F56*(1+Parâmetros!E14)*(1+Parâmetros!E19)</f>
        <v>456853.0851894067</v>
      </c>
      <c r="H56" s="112">
        <f>G56*(1+Parâmetros!F14)*(1+Parâmetros!F19)</f>
        <v>528977.1213425776</v>
      </c>
      <c r="I56" s="53"/>
    </row>
    <row r="57" spans="1:9" ht="12.75" customHeight="1">
      <c r="A57" s="229" t="s">
        <v>137</v>
      </c>
      <c r="B57" s="111">
        <f>+B58+B59</f>
        <v>0</v>
      </c>
      <c r="C57" s="111">
        <f aca="true" t="shared" si="13" ref="C57:H57">+C58+C59</f>
        <v>0</v>
      </c>
      <c r="D57" s="111">
        <f t="shared" si="13"/>
        <v>0</v>
      </c>
      <c r="E57" s="111">
        <f t="shared" si="13"/>
        <v>0</v>
      </c>
      <c r="F57" s="111">
        <f t="shared" si="13"/>
        <v>0</v>
      </c>
      <c r="G57" s="111">
        <f t="shared" si="13"/>
        <v>0</v>
      </c>
      <c r="H57" s="111">
        <f t="shared" si="13"/>
        <v>0</v>
      </c>
      <c r="I57" s="53"/>
    </row>
    <row r="58" spans="1:9" ht="12.75" customHeight="1">
      <c r="A58" s="230" t="s">
        <v>119</v>
      </c>
      <c r="B58" s="80"/>
      <c r="C58" s="80"/>
      <c r="D58" s="80"/>
      <c r="E58" s="112">
        <f>D58*(1+Parâmetros!C14)</f>
        <v>0</v>
      </c>
      <c r="F58" s="112">
        <f>E58*(1+Parâmetros!D14)</f>
        <v>0</v>
      </c>
      <c r="G58" s="112">
        <f>F58*(1+Parâmetros!E14)</f>
        <v>0</v>
      </c>
      <c r="H58" s="112">
        <f>G58*(1+Parâmetros!F14)</f>
        <v>0</v>
      </c>
      <c r="I58" s="53"/>
    </row>
    <row r="59" spans="1:9" ht="12.75" customHeight="1">
      <c r="A59" s="230" t="s">
        <v>138</v>
      </c>
      <c r="B59" s="80"/>
      <c r="C59" s="80"/>
      <c r="D59" s="80"/>
      <c r="E59" s="112">
        <f>D59*(1+Parâmetros!C14)</f>
        <v>0</v>
      </c>
      <c r="F59" s="112">
        <f>E59*(1+Parâmetros!D14)</f>
        <v>0</v>
      </c>
      <c r="G59" s="112">
        <f>F59*(1+Parâmetros!E14)</f>
        <v>0</v>
      </c>
      <c r="H59" s="112">
        <f>G59*(1+Parâmetros!F14)</f>
        <v>0</v>
      </c>
      <c r="I59" s="53"/>
    </row>
    <row r="60" spans="1:255" s="95" customFormat="1" ht="12.75" customHeight="1">
      <c r="A60" s="229" t="s">
        <v>112</v>
      </c>
      <c r="B60" s="111">
        <f aca="true" t="shared" si="14" ref="B60:H60">SUM(B61:B61)</f>
        <v>1738374.98</v>
      </c>
      <c r="C60" s="111">
        <f t="shared" si="14"/>
        <v>1946497.32</v>
      </c>
      <c r="D60" s="111">
        <f t="shared" si="14"/>
        <v>1994931.82</v>
      </c>
      <c r="E60" s="111">
        <f t="shared" si="14"/>
        <v>2285929.53218567</v>
      </c>
      <c r="F60" s="111">
        <f t="shared" si="14"/>
        <v>2632099.270892207</v>
      </c>
      <c r="G60" s="111">
        <f t="shared" si="14"/>
        <v>3043549.028918077</v>
      </c>
      <c r="H60" s="111">
        <f t="shared" si="14"/>
        <v>3524038.375082014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</row>
    <row r="61" spans="1:9" ht="12.75" customHeight="1">
      <c r="A61" s="230" t="s">
        <v>176</v>
      </c>
      <c r="B61" s="80">
        <v>1738374.98</v>
      </c>
      <c r="C61" s="80">
        <v>1946497.32</v>
      </c>
      <c r="D61" s="80">
        <v>1994931.82</v>
      </c>
      <c r="E61" s="112">
        <f>D61*(1+Parâmetros!C14)*(1+Parâmetros!C19)</f>
        <v>2285929.53218567</v>
      </c>
      <c r="F61" s="112">
        <f>E61*(1+Parâmetros!D14)*(1+Parâmetros!D19)</f>
        <v>2632099.270892207</v>
      </c>
      <c r="G61" s="112">
        <f>F61*(1+Parâmetros!E14)*(1+Parâmetros!E19)</f>
        <v>3043549.028918077</v>
      </c>
      <c r="H61" s="112">
        <f>G61*(1+Parâmetros!F14)*(1+Parâmetros!F19)</f>
        <v>3524038.375082014</v>
      </c>
      <c r="I61" s="58"/>
    </row>
    <row r="62" spans="1:9" ht="12.75" customHeight="1">
      <c r="A62" s="203" t="s">
        <v>139</v>
      </c>
      <c r="B62" s="111">
        <f>SUM(B63:B68)</f>
        <v>164110.36</v>
      </c>
      <c r="C62" s="111">
        <f aca="true" t="shared" si="15" ref="C62:H62">SUM(C63:C68)</f>
        <v>384638.64</v>
      </c>
      <c r="D62" s="111">
        <f t="shared" si="15"/>
        <v>240000</v>
      </c>
      <c r="E62" s="111">
        <f t="shared" si="15"/>
        <v>253464</v>
      </c>
      <c r="F62" s="111">
        <f t="shared" si="15"/>
        <v>266770.86</v>
      </c>
      <c r="G62" s="111">
        <f t="shared" si="15"/>
        <v>280429.52803199994</v>
      </c>
      <c r="H62" s="111">
        <f t="shared" si="15"/>
        <v>294647.3051032223</v>
      </c>
      <c r="I62" s="53"/>
    </row>
    <row r="63" spans="1:9" ht="12.75" customHeight="1">
      <c r="A63" s="226" t="s">
        <v>162</v>
      </c>
      <c r="B63" s="80"/>
      <c r="C63" s="80"/>
      <c r="D63" s="80"/>
      <c r="E63" s="112">
        <f>D63*(1+Parâmetros!C14)</f>
        <v>0</v>
      </c>
      <c r="F63" s="112">
        <f>E63*(1+Parâmetros!D14)</f>
        <v>0</v>
      </c>
      <c r="G63" s="112">
        <f>F63*(1+Parâmetros!E14)</f>
        <v>0</v>
      </c>
      <c r="H63" s="112">
        <f>G63*(1+Parâmetros!F14)</f>
        <v>0</v>
      </c>
      <c r="I63" s="53"/>
    </row>
    <row r="64" spans="1:9" ht="12.75" customHeight="1">
      <c r="A64" s="226" t="s">
        <v>141</v>
      </c>
      <c r="B64" s="80"/>
      <c r="C64" s="80"/>
      <c r="D64" s="80"/>
      <c r="E64" s="112">
        <f>D64*(1+Parâmetros!C14)</f>
        <v>0</v>
      </c>
      <c r="F64" s="112">
        <f>E64*(1+Parâmetros!D14)</f>
        <v>0</v>
      </c>
      <c r="G64" s="112">
        <f>F64*(1+Parâmetros!E14)</f>
        <v>0</v>
      </c>
      <c r="H64" s="112">
        <f>G64*(1+Parâmetros!F14)</f>
        <v>0</v>
      </c>
      <c r="I64" s="53"/>
    </row>
    <row r="65" spans="1:9" ht="12.75" customHeight="1">
      <c r="A65" s="226" t="s">
        <v>140</v>
      </c>
      <c r="B65" s="80"/>
      <c r="C65" s="80">
        <v>336019.14</v>
      </c>
      <c r="D65" s="80"/>
      <c r="E65" s="112">
        <f>D65*(1+Parâmetros!C14)</f>
        <v>0</v>
      </c>
      <c r="F65" s="112">
        <f>E65*(1+Parâmetros!D14)</f>
        <v>0</v>
      </c>
      <c r="G65" s="112">
        <f>F65*(1+Parâmetros!E14)</f>
        <v>0</v>
      </c>
      <c r="H65" s="112">
        <f>G65*(1+Parâmetros!F14)</f>
        <v>0</v>
      </c>
      <c r="I65" s="53"/>
    </row>
    <row r="66" spans="1:9" ht="12.75" customHeight="1">
      <c r="A66" s="226" t="s">
        <v>142</v>
      </c>
      <c r="B66" s="80"/>
      <c r="C66" s="80"/>
      <c r="D66" s="80"/>
      <c r="E66" s="112">
        <f>D66*(1+Parâmetros!C14)</f>
        <v>0</v>
      </c>
      <c r="F66" s="112">
        <f>E66*(1+Parâmetros!D14)</f>
        <v>0</v>
      </c>
      <c r="G66" s="112">
        <f>F66*(1+Parâmetros!E14)</f>
        <v>0</v>
      </c>
      <c r="H66" s="112">
        <f>G66*(1+Parâmetros!F14)</f>
        <v>0</v>
      </c>
      <c r="I66" s="53"/>
    </row>
    <row r="67" spans="1:9" ht="12.75" customHeight="1">
      <c r="A67" s="226" t="s">
        <v>143</v>
      </c>
      <c r="B67" s="80"/>
      <c r="C67" s="80"/>
      <c r="D67" s="80"/>
      <c r="E67" s="112">
        <f>D67*(1+Parâmetros!C14)</f>
        <v>0</v>
      </c>
      <c r="F67" s="112">
        <f>E67*(1+Parâmetros!D14)</f>
        <v>0</v>
      </c>
      <c r="G67" s="112">
        <f>F67*(1+Parâmetros!E14)</f>
        <v>0</v>
      </c>
      <c r="H67" s="112">
        <f>G67*(1+Parâmetros!F14)</f>
        <v>0</v>
      </c>
      <c r="I67" s="53"/>
    </row>
    <row r="68" spans="1:9" ht="12.75" customHeight="1">
      <c r="A68" s="226" t="s">
        <v>144</v>
      </c>
      <c r="B68" s="80">
        <v>164110.36</v>
      </c>
      <c r="C68" s="80">
        <v>48619.5</v>
      </c>
      <c r="D68" s="80">
        <v>240000</v>
      </c>
      <c r="E68" s="112">
        <f>D68*(1+Parâmetros!C14)</f>
        <v>253464</v>
      </c>
      <c r="F68" s="112">
        <f>E68*(1+Parâmetros!D14)</f>
        <v>266770.86</v>
      </c>
      <c r="G68" s="112">
        <f>F68*(1+Parâmetros!E14)</f>
        <v>280429.52803199994</v>
      </c>
      <c r="H68" s="112">
        <f>G68*(1+Parâmetros!F14)</f>
        <v>294647.3051032223</v>
      </c>
      <c r="I68" s="53"/>
    </row>
    <row r="69" spans="1:9" ht="12.75" customHeight="1">
      <c r="A69" s="191" t="s">
        <v>116</v>
      </c>
      <c r="B69" s="80">
        <v>0</v>
      </c>
      <c r="C69" s="80"/>
      <c r="D69" s="80"/>
      <c r="E69" s="112">
        <f>D69*(1+Parâmetros!C14)</f>
        <v>0</v>
      </c>
      <c r="F69" s="112">
        <f>E69*(1+Parâmetros!D14)</f>
        <v>0</v>
      </c>
      <c r="G69" s="112">
        <f>F69*(1+Parâmetros!E14)</f>
        <v>0</v>
      </c>
      <c r="H69" s="112">
        <f>G69*(1+Parâmetros!F14)</f>
        <v>0</v>
      </c>
      <c r="I69" s="53"/>
    </row>
    <row r="70" spans="1:9" s="50" customFormat="1" ht="12.75" customHeight="1">
      <c r="A70" s="135" t="s">
        <v>67</v>
      </c>
      <c r="B70" s="111">
        <f>SUM(B71:B75)</f>
        <v>890995.6000000001</v>
      </c>
      <c r="C70" s="111">
        <f aca="true" t="shared" si="16" ref="C70:H70">SUM(C71:C75)</f>
        <v>201355.92</v>
      </c>
      <c r="D70" s="111">
        <f t="shared" si="16"/>
        <v>928061.5499999999</v>
      </c>
      <c r="E70" s="111">
        <f t="shared" si="16"/>
        <v>1009529.57704365</v>
      </c>
      <c r="F70" s="111">
        <f t="shared" si="16"/>
        <v>1096530.8359932718</v>
      </c>
      <c r="G70" s="111">
        <f t="shared" si="16"/>
        <v>1194169.450528788</v>
      </c>
      <c r="H70" s="111">
        <f t="shared" si="16"/>
        <v>1304902.3953374214</v>
      </c>
      <c r="I70" s="56"/>
    </row>
    <row r="71" spans="1:9" ht="12.75" customHeight="1">
      <c r="A71" s="191" t="s">
        <v>245</v>
      </c>
      <c r="B71" s="80">
        <v>5222.92</v>
      </c>
      <c r="C71" s="80">
        <v>0</v>
      </c>
      <c r="D71" s="80">
        <v>11493.46</v>
      </c>
      <c r="E71" s="112">
        <f>D71*(1+Parâmetros!C14)*(1+Parâmetros!C18)</f>
        <v>12502.39039918</v>
      </c>
      <c r="F71" s="112">
        <f>E71*(1+Parâmetros!D14)*(1+Parâmetros!D18)</f>
        <v>13579.846403781334</v>
      </c>
      <c r="G71" s="112">
        <f>F71*(1+Parâmetros!E14)*(1+Parâmetros!E18)</f>
        <v>14789.039383082514</v>
      </c>
      <c r="H71" s="112">
        <f>G71*(1+Parâmetros!F14)*(1+Parâmetros!F18)</f>
        <v>16160.39742699699</v>
      </c>
      <c r="I71" s="53"/>
    </row>
    <row r="72" spans="1:9" ht="12.75" customHeight="1">
      <c r="A72" s="191" t="s">
        <v>124</v>
      </c>
      <c r="B72" s="80"/>
      <c r="C72" s="80"/>
      <c r="D72" s="80"/>
      <c r="E72" s="112">
        <f>D72*(1+Parâmetros!C14)*(1+Parâmetros!C18)</f>
        <v>0</v>
      </c>
      <c r="F72" s="112">
        <f>E72*(1+Parâmetros!D14)*(1+Parâmetros!D18)</f>
        <v>0</v>
      </c>
      <c r="G72" s="112">
        <f>F72*(1+Parâmetros!E14)*(1+Parâmetros!E18)</f>
        <v>0</v>
      </c>
      <c r="H72" s="112">
        <f>G72*(1+Parâmetros!F14)*(1+Parâmetros!F18)</f>
        <v>0</v>
      </c>
      <c r="I72" s="53"/>
    </row>
    <row r="73" spans="1:9" ht="12.75" customHeight="1">
      <c r="A73" s="191" t="s">
        <v>246</v>
      </c>
      <c r="B73" s="80">
        <v>633686.68</v>
      </c>
      <c r="C73" s="80">
        <v>0</v>
      </c>
      <c r="D73" s="80">
        <v>916568.09</v>
      </c>
      <c r="E73" s="112">
        <f>D73*(1+Parâmetros!C14)*(1+Parâmetros!C18)</f>
        <v>997027.18664447</v>
      </c>
      <c r="F73" s="112">
        <f>E73*(1+Parâmetros!D14)*(1+Parâmetros!D18)</f>
        <v>1082950.9895894905</v>
      </c>
      <c r="G73" s="112">
        <f>F73*(1+Parâmetros!E14)*(1+Parâmetros!E18)</f>
        <v>1179380.4111457055</v>
      </c>
      <c r="H73" s="112">
        <f>G73*(1+Parâmetros!F14)*(1+Parâmetros!F18)</f>
        <v>1288741.9979104244</v>
      </c>
      <c r="I73" s="53"/>
    </row>
    <row r="74" spans="1:9" ht="12.75" customHeight="1">
      <c r="A74" s="191" t="s">
        <v>125</v>
      </c>
      <c r="B74" s="80"/>
      <c r="C74" s="80"/>
      <c r="D74" s="80"/>
      <c r="E74" s="112">
        <f>D74*(1+Parâmetros!C14)*(1+Parâmetros!C18)</f>
        <v>0</v>
      </c>
      <c r="F74" s="112">
        <f>E74*(1+Parâmetros!D14)*(1+Parâmetros!D18)</f>
        <v>0</v>
      </c>
      <c r="G74" s="112">
        <f>F74*(1+Parâmetros!E14)*(1+Parâmetros!E18)</f>
        <v>0</v>
      </c>
      <c r="H74" s="112">
        <f>G74*(1+Parâmetros!F14)*(1+Parâmetros!F18)</f>
        <v>0</v>
      </c>
      <c r="I74" s="53"/>
    </row>
    <row r="75" spans="1:9" ht="12.75" customHeight="1">
      <c r="A75" s="197" t="s">
        <v>68</v>
      </c>
      <c r="B75" s="87">
        <v>252086</v>
      </c>
      <c r="C75" s="87">
        <v>201355.92</v>
      </c>
      <c r="D75" s="87"/>
      <c r="E75" s="112">
        <f>D75*(1+Parâmetros!C14)*(1+Parâmetros!C18)</f>
        <v>0</v>
      </c>
      <c r="F75" s="112">
        <f>E75*(1+Parâmetros!D14)*(1+Parâmetros!D18)</f>
        <v>0</v>
      </c>
      <c r="G75" s="112">
        <f>F75*(1+Parâmetros!E14)*(1+Parâmetros!E18)</f>
        <v>0</v>
      </c>
      <c r="H75" s="112">
        <f>G75*(1+Parâmetros!F14)*(1+Parâmetros!F18)</f>
        <v>0</v>
      </c>
      <c r="I75" s="96"/>
    </row>
    <row r="76" spans="1:9" ht="12.75" customHeight="1">
      <c r="A76" s="203" t="s">
        <v>179</v>
      </c>
      <c r="B76" s="111">
        <f aca="true" t="shared" si="17" ref="B76:H76">SUM(B77:B78)</f>
        <v>2136059.95</v>
      </c>
      <c r="C76" s="111">
        <f t="shared" si="17"/>
        <v>2241399.53</v>
      </c>
      <c r="D76" s="111">
        <f t="shared" si="17"/>
        <v>2148006.59</v>
      </c>
      <c r="E76" s="111">
        <f t="shared" si="17"/>
        <v>3535981.0267213187</v>
      </c>
      <c r="F76" s="111">
        <f t="shared" si="17"/>
        <v>3910986.658399413</v>
      </c>
      <c r="G76" s="111">
        <f t="shared" si="17"/>
        <v>4356710.126282008</v>
      </c>
      <c r="H76" s="111">
        <f t="shared" si="17"/>
        <v>4877224.170768008</v>
      </c>
      <c r="I76" s="96"/>
    </row>
    <row r="77" spans="1:9" ht="12.75" customHeight="1">
      <c r="A77" s="197" t="s">
        <v>180</v>
      </c>
      <c r="B77" s="87">
        <v>2136059.95</v>
      </c>
      <c r="C77" s="87">
        <v>2241399.53</v>
      </c>
      <c r="D77" s="87">
        <v>1088372.72</v>
      </c>
      <c r="E77" s="168">
        <f>(E40+E41+E46+E50+E51+E52)*0.2</f>
        <v>2476347.1567213186</v>
      </c>
      <c r="F77" s="168">
        <f>(F40+F41+F46+F50+F51+F52)*0.2</f>
        <v>2851352.7883994128</v>
      </c>
      <c r="G77" s="168">
        <f>(G40+G41+G46+G50+G51+G52)*0.2</f>
        <v>3297076.2562820083</v>
      </c>
      <c r="H77" s="168">
        <f>(H40+H41+H46+H50+H51+H52)*0.2</f>
        <v>3817590.3007680075</v>
      </c>
      <c r="I77" s="96"/>
    </row>
    <row r="78" spans="1:9" ht="12.75" customHeight="1">
      <c r="A78" s="191" t="s">
        <v>181</v>
      </c>
      <c r="B78" s="80"/>
      <c r="C78" s="80"/>
      <c r="D78" s="80">
        <v>1059633.87</v>
      </c>
      <c r="E78" s="112">
        <f>D78</f>
        <v>1059633.87</v>
      </c>
      <c r="F78" s="112">
        <f>E78</f>
        <v>1059633.87</v>
      </c>
      <c r="G78" s="112">
        <f>F78</f>
        <v>1059633.87</v>
      </c>
      <c r="H78" s="113">
        <f>G78</f>
        <v>1059633.87</v>
      </c>
      <c r="I78" s="53"/>
    </row>
    <row r="79" spans="1:9" s="61" customFormat="1" ht="12.75" customHeight="1">
      <c r="A79" s="144" t="s">
        <v>122</v>
      </c>
      <c r="B79" s="114">
        <f>SUM(B80:B83)+B93</f>
        <v>38171.4</v>
      </c>
      <c r="C79" s="114">
        <f aca="true" t="shared" si="18" ref="C79:H79">SUM(C80:C83)+C93</f>
        <v>61956.05</v>
      </c>
      <c r="D79" s="114">
        <f t="shared" si="18"/>
        <v>339797.17</v>
      </c>
      <c r="E79" s="114">
        <f t="shared" si="18"/>
        <v>358859.791237</v>
      </c>
      <c r="F79" s="114">
        <f t="shared" si="18"/>
        <v>377699.9302769425</v>
      </c>
      <c r="G79" s="114">
        <f t="shared" si="18"/>
        <v>397038.1667071219</v>
      </c>
      <c r="H79" s="114">
        <f t="shared" si="18"/>
        <v>417168.001759173</v>
      </c>
      <c r="I79" s="60"/>
    </row>
    <row r="80" spans="1:9" s="50" customFormat="1" ht="12.75" customHeight="1">
      <c r="A80" s="231" t="s">
        <v>69</v>
      </c>
      <c r="B80" s="106"/>
      <c r="C80" s="106">
        <v>52700.28</v>
      </c>
      <c r="D80" s="106"/>
      <c r="E80" s="118">
        <f>D80*(1+Parâmetros!C14)</f>
        <v>0</v>
      </c>
      <c r="F80" s="118">
        <f>E80*(1+Parâmetros!D14)</f>
        <v>0</v>
      </c>
      <c r="G80" s="118">
        <f>F80*(1+Parâmetros!E14)</f>
        <v>0</v>
      </c>
      <c r="H80" s="118">
        <f>G80*(1+Parâmetros!F14)</f>
        <v>0</v>
      </c>
      <c r="I80" s="56"/>
    </row>
    <row r="81" spans="1:9" s="50" customFormat="1" ht="12.75" customHeight="1">
      <c r="A81" s="135" t="s">
        <v>70</v>
      </c>
      <c r="B81" s="81">
        <v>38171.4</v>
      </c>
      <c r="C81" s="81">
        <v>9255.77</v>
      </c>
      <c r="D81" s="81">
        <v>9797.17</v>
      </c>
      <c r="E81" s="111">
        <f>D81*(1+Parâmetros!C14)</f>
        <v>10346.791237000001</v>
      </c>
      <c r="F81" s="111">
        <f>E81*(1+Parâmetros!D14)</f>
        <v>10889.9977769425</v>
      </c>
      <c r="G81" s="111">
        <f>F81*(1+Parâmetros!E14)</f>
        <v>11447.565663121955</v>
      </c>
      <c r="H81" s="111">
        <f>G81*(1+Parâmetros!F14)</f>
        <v>12027.957242242239</v>
      </c>
      <c r="I81" s="56"/>
    </row>
    <row r="82" spans="1:9" s="50" customFormat="1" ht="12.75" customHeight="1">
      <c r="A82" s="174" t="s">
        <v>120</v>
      </c>
      <c r="B82" s="100"/>
      <c r="C82" s="100"/>
      <c r="D82" s="100">
        <v>330000</v>
      </c>
      <c r="E82" s="118">
        <f>D82*(1+Parâmetros!C14)</f>
        <v>348513</v>
      </c>
      <c r="F82" s="118">
        <f>E82*(1+Parâmetros!D14)</f>
        <v>366809.9325</v>
      </c>
      <c r="G82" s="118">
        <f>F82*(1+Parâmetros!E14)</f>
        <v>385590.60104399995</v>
      </c>
      <c r="H82" s="118">
        <f>G82*(1+Parâmetros!F14)</f>
        <v>405140.04451693076</v>
      </c>
      <c r="I82" s="56"/>
    </row>
    <row r="83" spans="1:9" s="50" customFormat="1" ht="12.75" customHeight="1">
      <c r="A83" s="135" t="s">
        <v>71</v>
      </c>
      <c r="B83" s="111">
        <f>+B84+B85+B92</f>
        <v>0</v>
      </c>
      <c r="C83" s="111">
        <f aca="true" t="shared" si="19" ref="C83:H83">+C84+C85+C92</f>
        <v>0</v>
      </c>
      <c r="D83" s="111">
        <f t="shared" si="19"/>
        <v>0</v>
      </c>
      <c r="E83" s="111">
        <f t="shared" si="19"/>
        <v>0</v>
      </c>
      <c r="F83" s="111">
        <f t="shared" si="19"/>
        <v>0</v>
      </c>
      <c r="G83" s="111">
        <f t="shared" si="19"/>
        <v>0</v>
      </c>
      <c r="H83" s="111">
        <f t="shared" si="19"/>
        <v>0</v>
      </c>
      <c r="I83" s="56"/>
    </row>
    <row r="84" spans="1:9" ht="12.75" customHeight="1">
      <c r="A84" s="191" t="s">
        <v>145</v>
      </c>
      <c r="B84" s="80"/>
      <c r="C84" s="80"/>
      <c r="D84" s="80"/>
      <c r="E84" s="112"/>
      <c r="F84" s="112"/>
      <c r="G84" s="112"/>
      <c r="H84" s="112"/>
      <c r="I84" s="53"/>
    </row>
    <row r="85" spans="1:9" ht="12.75" customHeight="1">
      <c r="A85" s="191" t="s">
        <v>173</v>
      </c>
      <c r="B85" s="112">
        <f>SUM(B86:B91)</f>
        <v>0</v>
      </c>
      <c r="C85" s="112">
        <f aca="true" t="shared" si="20" ref="C85:H85">SUM(C86:C91)</f>
        <v>0</v>
      </c>
      <c r="D85" s="112">
        <f t="shared" si="20"/>
        <v>0</v>
      </c>
      <c r="E85" s="112">
        <f t="shared" si="20"/>
        <v>0</v>
      </c>
      <c r="F85" s="112">
        <f t="shared" si="20"/>
        <v>0</v>
      </c>
      <c r="G85" s="112">
        <f t="shared" si="20"/>
        <v>0</v>
      </c>
      <c r="H85" s="112">
        <f t="shared" si="20"/>
        <v>0</v>
      </c>
      <c r="I85" s="53"/>
    </row>
    <row r="86" spans="1:9" ht="12.75" customHeight="1">
      <c r="A86" s="226" t="s">
        <v>162</v>
      </c>
      <c r="B86" s="80"/>
      <c r="C86" s="105"/>
      <c r="D86" s="105"/>
      <c r="E86" s="118">
        <f>D86*(1+Parâmetros!C14)</f>
        <v>0</v>
      </c>
      <c r="F86" s="118">
        <f>E86*(1+Parâmetros!D14)</f>
        <v>0</v>
      </c>
      <c r="G86" s="118">
        <f>F86*(1+Parâmetros!E14)</f>
        <v>0</v>
      </c>
      <c r="H86" s="118">
        <f>G86*(1+Parâmetros!F14)</f>
        <v>0</v>
      </c>
      <c r="I86" s="53"/>
    </row>
    <row r="87" spans="1:9" ht="12.75" customHeight="1">
      <c r="A87" s="226" t="s">
        <v>141</v>
      </c>
      <c r="B87" s="80"/>
      <c r="C87" s="105"/>
      <c r="D87" s="105"/>
      <c r="E87" s="118">
        <f>D87*(1+Parâmetros!C14)</f>
        <v>0</v>
      </c>
      <c r="F87" s="118">
        <f>E87*(1+Parâmetros!D14)</f>
        <v>0</v>
      </c>
      <c r="G87" s="118">
        <f>F87*(1+Parâmetros!E14)</f>
        <v>0</v>
      </c>
      <c r="H87" s="118">
        <f>G87*(1+Parâmetros!F14)</f>
        <v>0</v>
      </c>
      <c r="I87" s="53"/>
    </row>
    <row r="88" spans="1:9" ht="12.75" customHeight="1">
      <c r="A88" s="226" t="s">
        <v>140</v>
      </c>
      <c r="B88" s="80"/>
      <c r="C88" s="80"/>
      <c r="D88" s="80"/>
      <c r="E88" s="112">
        <f>D88*(1+Parâmetros!C14)</f>
        <v>0</v>
      </c>
      <c r="F88" s="112">
        <f>E88*(1+Parâmetros!D14)</f>
        <v>0</v>
      </c>
      <c r="G88" s="112">
        <f>F88*(1+Parâmetros!E14)</f>
        <v>0</v>
      </c>
      <c r="H88" s="112">
        <f>G88*(1+Parâmetros!F14)</f>
        <v>0</v>
      </c>
      <c r="I88" s="53"/>
    </row>
    <row r="89" spans="1:9" ht="12.75" customHeight="1">
      <c r="A89" s="226" t="s">
        <v>142</v>
      </c>
      <c r="B89" s="80"/>
      <c r="C89" s="80"/>
      <c r="D89" s="80"/>
      <c r="E89" s="112">
        <f>D89*(1+Parâmetros!C14)</f>
        <v>0</v>
      </c>
      <c r="F89" s="112">
        <f>E89*(1+Parâmetros!D14)</f>
        <v>0</v>
      </c>
      <c r="G89" s="112">
        <f>F89*(1+Parâmetros!E14)</f>
        <v>0</v>
      </c>
      <c r="H89" s="112">
        <f>G89*(1+Parâmetros!F14)</f>
        <v>0</v>
      </c>
      <c r="I89" s="53"/>
    </row>
    <row r="90" spans="1:9" ht="12.75" customHeight="1">
      <c r="A90" s="226" t="s">
        <v>143</v>
      </c>
      <c r="B90" s="80"/>
      <c r="C90" s="80"/>
      <c r="D90" s="80"/>
      <c r="E90" s="112">
        <f>D90*(1+Parâmetros!C14)</f>
        <v>0</v>
      </c>
      <c r="F90" s="112">
        <f>E90*(1+Parâmetros!D14)</f>
        <v>0</v>
      </c>
      <c r="G90" s="112">
        <f>F90*(1+Parâmetros!E14)</f>
        <v>0</v>
      </c>
      <c r="H90" s="112">
        <f>G90*(1+Parâmetros!F14)</f>
        <v>0</v>
      </c>
      <c r="I90" s="53"/>
    </row>
    <row r="91" spans="1:9" ht="12.75" customHeight="1">
      <c r="A91" s="226" t="s">
        <v>144</v>
      </c>
      <c r="B91" s="80"/>
      <c r="C91" s="80"/>
      <c r="D91" s="80"/>
      <c r="E91" s="112">
        <f>D91*(1+Parâmetros!C14)</f>
        <v>0</v>
      </c>
      <c r="F91" s="112">
        <f>E91*(1+Parâmetros!D14)</f>
        <v>0</v>
      </c>
      <c r="G91" s="112">
        <f>F91*(1+Parâmetros!E14)</f>
        <v>0</v>
      </c>
      <c r="H91" s="112">
        <f>G91*(1+Parâmetros!F14)</f>
        <v>0</v>
      </c>
      <c r="I91" s="53"/>
    </row>
    <row r="92" spans="1:9" ht="12.75" customHeight="1">
      <c r="A92" s="191" t="s">
        <v>240</v>
      </c>
      <c r="B92" s="80"/>
      <c r="C92" s="80"/>
      <c r="D92" s="80"/>
      <c r="E92" s="112">
        <f>D92*(1+Parâmetros!C14)</f>
        <v>0</v>
      </c>
      <c r="F92" s="112">
        <f>E92*(1+Parâmetros!D14)</f>
        <v>0</v>
      </c>
      <c r="G92" s="112">
        <f>F92*(1+Parâmetros!E14)</f>
        <v>0</v>
      </c>
      <c r="H92" s="112">
        <f>G92*(1+Parâmetros!F14)</f>
        <v>0</v>
      </c>
      <c r="I92" s="53"/>
    </row>
    <row r="93" spans="1:9" s="50" customFormat="1" ht="12.75" customHeight="1">
      <c r="A93" s="232" t="s">
        <v>72</v>
      </c>
      <c r="B93" s="81"/>
      <c r="C93" s="81"/>
      <c r="D93" s="81"/>
      <c r="E93" s="111">
        <f>D93*(1+Parâmetros!C14)</f>
        <v>0</v>
      </c>
      <c r="F93" s="111">
        <f>E93*(1+Parâmetros!D14)</f>
        <v>0</v>
      </c>
      <c r="G93" s="111">
        <f>F93*(1+Parâmetros!E14)</f>
        <v>0</v>
      </c>
      <c r="H93" s="233">
        <f>G93*(1+Parâmetros!F14)</f>
        <v>0</v>
      </c>
      <c r="I93" s="56"/>
    </row>
    <row r="96" spans="2:3" ht="24" customHeight="1">
      <c r="B96" s="63"/>
      <c r="C96" s="63"/>
    </row>
    <row r="97" spans="2:3" ht="24" customHeight="1">
      <c r="B97" s="63"/>
      <c r="C97" s="63"/>
    </row>
    <row r="98" spans="2:3" ht="24" customHeight="1">
      <c r="B98" s="63"/>
      <c r="C98" s="63"/>
    </row>
    <row r="99" spans="2:3" ht="24" customHeight="1">
      <c r="B99" s="63"/>
      <c r="C99" s="63"/>
    </row>
    <row r="100" spans="2:3" ht="24" customHeight="1">
      <c r="B100" s="63"/>
      <c r="C100" s="63"/>
    </row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47" r:id="rId1"/>
  <headerFooter alignWithMargins="0">
    <oddHeader>&amp;L&amp;D, &amp;T&amp;CPág.&amp;P/&amp;N&amp;R&amp;F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I26"/>
  <sheetViews>
    <sheetView showGridLines="0" view="pageBreakPreview" zoomScaleNormal="70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C25" sqref="C25"/>
    </sheetView>
  </sheetViews>
  <sheetFormatPr defaultColWidth="7.8515625" defaultRowHeight="24" customHeight="1"/>
  <cols>
    <col min="1" max="1" width="53.8515625" style="52" bestFit="1" customWidth="1"/>
    <col min="2" max="7" width="14.7109375" style="52" customWidth="1"/>
    <col min="8" max="8" width="14.7109375" style="70" customWidth="1"/>
    <col min="9" max="9" width="14.7109375" style="52" customWidth="1"/>
    <col min="10" max="16384" width="7.8515625" style="52" customWidth="1"/>
  </cols>
  <sheetData>
    <row r="1" spans="1:8" s="76" customFormat="1" ht="12.75" customHeight="1">
      <c r="A1" s="286" t="str">
        <f>+Tab01!A1</f>
        <v>MUNICÍPIO DE:</v>
      </c>
      <c r="B1" s="284"/>
      <c r="C1" s="284"/>
      <c r="D1" s="284"/>
      <c r="E1" s="284"/>
      <c r="F1" s="284"/>
      <c r="G1" s="284"/>
      <c r="H1" s="284"/>
    </row>
    <row r="2" spans="1:8" s="76" customFormat="1" ht="12.75" customHeight="1">
      <c r="A2" s="283" t="s">
        <v>251</v>
      </c>
      <c r="B2" s="284"/>
      <c r="C2" s="284"/>
      <c r="D2" s="284"/>
      <c r="E2" s="284"/>
      <c r="F2" s="284"/>
      <c r="G2" s="284"/>
      <c r="H2" s="284"/>
    </row>
    <row r="3" spans="1:8" s="50" customFormat="1" ht="12.75" customHeight="1">
      <c r="A3" s="286" t="s">
        <v>252</v>
      </c>
      <c r="B3" s="286"/>
      <c r="C3" s="286"/>
      <c r="D3" s="286"/>
      <c r="E3" s="286"/>
      <c r="F3" s="286"/>
      <c r="G3" s="286"/>
      <c r="H3" s="286"/>
    </row>
    <row r="4" spans="1:8" ht="12.75" customHeight="1">
      <c r="A4" s="234"/>
      <c r="B4" s="234"/>
      <c r="C4" s="234"/>
      <c r="D4" s="234"/>
      <c r="E4" s="234"/>
      <c r="F4" s="234"/>
      <c r="G4" s="234"/>
      <c r="H4" s="235" t="str">
        <f>+Tab01!H4</f>
        <v>R$  mil</v>
      </c>
    </row>
    <row r="5" spans="1:8" ht="12.75" customHeight="1">
      <c r="A5" s="236" t="s">
        <v>36</v>
      </c>
      <c r="B5" s="237">
        <f>+Tab01!B5</f>
        <v>2011</v>
      </c>
      <c r="C5" s="237">
        <f>+Tab01!C5</f>
        <v>2012</v>
      </c>
      <c r="D5" s="237">
        <f>+Tab01!D5</f>
        <v>2013</v>
      </c>
      <c r="E5" s="237">
        <f>+Tab01!E5</f>
        <v>2014</v>
      </c>
      <c r="F5" s="238">
        <f>+Tab01!F5</f>
        <v>2015</v>
      </c>
      <c r="G5" s="238">
        <f>+Tab01!G5</f>
        <v>2016</v>
      </c>
      <c r="H5" s="238">
        <f>+Tab01!H5</f>
        <v>2017</v>
      </c>
    </row>
    <row r="6" spans="1:9" ht="12.75" customHeight="1">
      <c r="A6" s="239" t="s">
        <v>126</v>
      </c>
      <c r="B6" s="240">
        <f aca="true" t="shared" si="0" ref="B6:H6">B7+B12+B18</f>
        <v>15262212.86</v>
      </c>
      <c r="C6" s="240">
        <f t="shared" si="0"/>
        <v>16475551.290000001</v>
      </c>
      <c r="D6" s="240">
        <f t="shared" si="0"/>
        <v>16078761.73</v>
      </c>
      <c r="E6" s="240">
        <f t="shared" si="0"/>
        <v>18298713.297378805</v>
      </c>
      <c r="F6" s="240">
        <f t="shared" si="0"/>
        <v>20917860.470272627</v>
      </c>
      <c r="G6" s="240">
        <f t="shared" si="0"/>
        <v>24017570.841834508</v>
      </c>
      <c r="H6" s="240">
        <f t="shared" si="0"/>
        <v>27629240.27772637</v>
      </c>
      <c r="I6" s="64"/>
    </row>
    <row r="7" spans="1:9" ht="12.75" customHeight="1">
      <c r="A7" s="241" t="s">
        <v>37</v>
      </c>
      <c r="B7" s="116">
        <f>Tab01!B9</f>
        <v>464873.07</v>
      </c>
      <c r="C7" s="116">
        <f>Tab01!C9</f>
        <v>991563.46</v>
      </c>
      <c r="D7" s="116">
        <f>Tab01!D9</f>
        <v>800095.04</v>
      </c>
      <c r="E7" s="116">
        <f>Tab01!E9</f>
        <v>870329.78289632</v>
      </c>
      <c r="F7" s="116">
        <f>Tab01!F9</f>
        <v>945334.803586325</v>
      </c>
      <c r="G7" s="116">
        <f>Tab01!G9</f>
        <v>1029510.4395690227</v>
      </c>
      <c r="H7" s="116">
        <f>Tab01!H9</f>
        <v>1124974.883609379</v>
      </c>
      <c r="I7" s="64"/>
    </row>
    <row r="8" spans="1:8" ht="12.75" customHeight="1">
      <c r="A8" s="242" t="s">
        <v>9</v>
      </c>
      <c r="B8" s="115">
        <f>+Tab01!B11</f>
        <v>36343.86</v>
      </c>
      <c r="C8" s="115">
        <f>+Tab01!C11</f>
        <v>44165.45</v>
      </c>
      <c r="D8" s="115">
        <f>+Tab01!D11</f>
        <v>65816.74</v>
      </c>
      <c r="E8" s="115">
        <f>+Tab01!E11</f>
        <v>71594.33088742</v>
      </c>
      <c r="F8" s="115">
        <f>+Tab01!F11</f>
        <v>77764.33032329785</v>
      </c>
      <c r="G8" s="115">
        <f>+Tab01!G11</f>
        <v>84688.71514114132</v>
      </c>
      <c r="H8" s="115">
        <f>+Tab01!H11</f>
        <v>92541.73031874908</v>
      </c>
    </row>
    <row r="9" spans="1:8" ht="12.75" customHeight="1">
      <c r="A9" s="242" t="s">
        <v>11</v>
      </c>
      <c r="B9" s="115">
        <f>+Tab01!B14</f>
        <v>126839.38</v>
      </c>
      <c r="C9" s="115">
        <f>+Tab01!C14</f>
        <v>124333.05</v>
      </c>
      <c r="D9" s="115">
        <f>+Tab01!D14</f>
        <v>131767.79</v>
      </c>
      <c r="E9" s="115">
        <f>+Tab01!E14</f>
        <v>143334.76190957002</v>
      </c>
      <c r="F9" s="115">
        <f>+Tab01!F14</f>
        <v>155687.35169093678</v>
      </c>
      <c r="G9" s="115">
        <f>+Tab01!G14</f>
        <v>169550.2516850232</v>
      </c>
      <c r="H9" s="115">
        <f>+Tab01!H14</f>
        <v>185272.30742327202</v>
      </c>
    </row>
    <row r="10" spans="1:8" ht="12.75" customHeight="1">
      <c r="A10" s="242" t="s">
        <v>10</v>
      </c>
      <c r="B10" s="115">
        <f>+Tab01!B13</f>
        <v>173219.72</v>
      </c>
      <c r="C10" s="115">
        <f>+Tab01!C13</f>
        <v>696321.2</v>
      </c>
      <c r="D10" s="115">
        <f>+Tab01!D13</f>
        <v>503827</v>
      </c>
      <c r="E10" s="115">
        <f>+Tab01!E13</f>
        <v>548054.445541</v>
      </c>
      <c r="F10" s="115">
        <f>+Tab01!F13</f>
        <v>595285.7776577234</v>
      </c>
      <c r="G10" s="115">
        <f>+Tab01!G13</f>
        <v>648291.9282148556</v>
      </c>
      <c r="H10" s="115">
        <f>+Tab01!H13</f>
        <v>708406.7421343627</v>
      </c>
    </row>
    <row r="11" spans="1:8" ht="12.75" customHeight="1">
      <c r="A11" s="242" t="s">
        <v>38</v>
      </c>
      <c r="B11" s="115">
        <f>B7-SUM(B8:B10)</f>
        <v>128470.11000000004</v>
      </c>
      <c r="C11" s="115">
        <f aca="true" t="shared" si="1" ref="C11:H11">C7-SUM(C8:C10)</f>
        <v>126743.76000000001</v>
      </c>
      <c r="D11" s="115">
        <f t="shared" si="1"/>
        <v>98683.51000000001</v>
      </c>
      <c r="E11" s="115">
        <f t="shared" si="1"/>
        <v>107346.24455833004</v>
      </c>
      <c r="F11" s="115">
        <f t="shared" si="1"/>
        <v>116597.34391436703</v>
      </c>
      <c r="G11" s="115">
        <f t="shared" si="1"/>
        <v>126979.54452800262</v>
      </c>
      <c r="H11" s="115">
        <f t="shared" si="1"/>
        <v>138754.10373299522</v>
      </c>
    </row>
    <row r="12" spans="1:9" ht="12.75" customHeight="1">
      <c r="A12" s="241" t="s">
        <v>39</v>
      </c>
      <c r="B12" s="116">
        <f>Tab01!B37</f>
        <v>13756597.02</v>
      </c>
      <c r="C12" s="116">
        <f>Tab01!C37</f>
        <v>15176553.73</v>
      </c>
      <c r="D12" s="116">
        <f>Tab01!D37</f>
        <v>14304269.83</v>
      </c>
      <c r="E12" s="116">
        <f>Tab01!E37</f>
        <v>16369267.773697354</v>
      </c>
      <c r="F12" s="116">
        <f>Tab01!F37</f>
        <v>18823071.378167216</v>
      </c>
      <c r="G12" s="116">
        <f>Tab01!G37</f>
        <v>21737450.943199113</v>
      </c>
      <c r="H12" s="116">
        <f>Tab01!H37</f>
        <v>25139118.730912756</v>
      </c>
      <c r="I12" s="66"/>
    </row>
    <row r="13" spans="1:8" ht="12.75" customHeight="1">
      <c r="A13" s="242" t="s">
        <v>40</v>
      </c>
      <c r="B13" s="115">
        <f>+Tab01!B40</f>
        <v>5293193.59</v>
      </c>
      <c r="C13" s="115">
        <f>+Tab01!C40</f>
        <v>5464630.84</v>
      </c>
      <c r="D13" s="115">
        <f>+Tab01!D40</f>
        <v>5441865.19</v>
      </c>
      <c r="E13" s="115">
        <f>+Tab01!E40</f>
        <v>6235661.902467515</v>
      </c>
      <c r="F13" s="115">
        <f>+Tab01!F40</f>
        <v>7179959.362667684</v>
      </c>
      <c r="G13" s="115">
        <f>+Tab01!G40</f>
        <v>8302330.610239897</v>
      </c>
      <c r="H13" s="115">
        <f>+Tab01!H40</f>
        <v>9613031.166941324</v>
      </c>
    </row>
    <row r="14" spans="1:9" ht="12.75" customHeight="1">
      <c r="A14" s="242" t="s">
        <v>41</v>
      </c>
      <c r="B14" s="115">
        <f>+Tab01!B50</f>
        <v>4861641.52</v>
      </c>
      <c r="C14" s="115">
        <f>+Tab01!C50</f>
        <v>5007870.07</v>
      </c>
      <c r="D14" s="115">
        <f>+Tab01!D50</f>
        <v>4911127.31</v>
      </c>
      <c r="E14" s="115">
        <f>+Tab01!E50</f>
        <v>5627506.084018734</v>
      </c>
      <c r="F14" s="115">
        <f>+Tab01!F50</f>
        <v>6479707.467852112</v>
      </c>
      <c r="G14" s="115">
        <f>+Tab01!G50</f>
        <v>7492615.339226753</v>
      </c>
      <c r="H14" s="115">
        <f>+Tab01!H50</f>
        <v>8675485.012491956</v>
      </c>
      <c r="I14" s="67"/>
    </row>
    <row r="15" spans="1:9" ht="12.75" customHeight="1">
      <c r="A15" s="242" t="s">
        <v>42</v>
      </c>
      <c r="B15" s="115">
        <f>+Tab01!B51</f>
        <v>62269.43</v>
      </c>
      <c r="C15" s="115">
        <f>+Tab01!C51</f>
        <v>71570.23</v>
      </c>
      <c r="D15" s="115">
        <f>+Tab01!D51</f>
        <v>82814.09</v>
      </c>
      <c r="E15" s="115">
        <f>+Tab01!E51</f>
        <v>94894.057087165</v>
      </c>
      <c r="F15" s="115">
        <f>+Tab01!F51</f>
        <v>109264.33862215985</v>
      </c>
      <c r="G15" s="115">
        <f>+Tab01!G51</f>
        <v>126344.54003557588</v>
      </c>
      <c r="H15" s="115">
        <f>+Tab01!H51</f>
        <v>146290.7294533483</v>
      </c>
      <c r="I15" s="67"/>
    </row>
    <row r="16" spans="1:9" ht="12.75" customHeight="1">
      <c r="A16" s="243" t="s">
        <v>177</v>
      </c>
      <c r="B16" s="115">
        <f>Tab01!B61</f>
        <v>1738374.98</v>
      </c>
      <c r="C16" s="115">
        <f>Tab01!C61</f>
        <v>1946497.32</v>
      </c>
      <c r="D16" s="115">
        <f>Tab01!D61</f>
        <v>1994931.82</v>
      </c>
      <c r="E16" s="115">
        <f>Tab01!E61</f>
        <v>2285929.53218567</v>
      </c>
      <c r="F16" s="115">
        <f>Tab01!F61</f>
        <v>2632099.270892207</v>
      </c>
      <c r="G16" s="115">
        <f>Tab01!G61</f>
        <v>3043549.028918077</v>
      </c>
      <c r="H16" s="115">
        <f>Tab01!H61</f>
        <v>3524038.375082014</v>
      </c>
      <c r="I16" s="65"/>
    </row>
    <row r="17" spans="1:9" ht="12.75" customHeight="1">
      <c r="A17" s="243" t="s">
        <v>43</v>
      </c>
      <c r="B17" s="115">
        <f aca="true" t="shared" si="2" ref="B17:H17">B12-SUM(B13:B16)</f>
        <v>1801117.5</v>
      </c>
      <c r="C17" s="115">
        <f t="shared" si="2"/>
        <v>2685985.2699999996</v>
      </c>
      <c r="D17" s="115">
        <f t="shared" si="2"/>
        <v>1873531.42</v>
      </c>
      <c r="E17" s="115">
        <f t="shared" si="2"/>
        <v>2125276.197938271</v>
      </c>
      <c r="F17" s="115">
        <f t="shared" si="2"/>
        <v>2422040.9381330535</v>
      </c>
      <c r="G17" s="115">
        <f t="shared" si="2"/>
        <v>2772611.4247788116</v>
      </c>
      <c r="H17" s="115">
        <f t="shared" si="2"/>
        <v>3180273.446944114</v>
      </c>
      <c r="I17" s="65"/>
    </row>
    <row r="18" spans="1:9" ht="12.75" customHeight="1">
      <c r="A18" s="241" t="s">
        <v>44</v>
      </c>
      <c r="B18" s="116">
        <f>+Tab01!B17+Tab01!B22+Tab01!B32+Tab01!B33+Tab01!B34+Tab01!B70</f>
        <v>1040742.7700000001</v>
      </c>
      <c r="C18" s="116">
        <f>+Tab01!C17+Tab01!C22+Tab01!C32+Tab01!C33+Tab01!C34+Tab01!C70</f>
        <v>307434.10000000003</v>
      </c>
      <c r="D18" s="116">
        <f>+Tab01!D17+Tab01!D22+Tab01!D32+Tab01!D33+Tab01!D34+Tab01!D70</f>
        <v>974396.8599999999</v>
      </c>
      <c r="E18" s="116">
        <f>+Tab01!E17+Tab01!E22+Tab01!E32+Tab01!E33+Tab01!E34+Tab01!E70</f>
        <v>1059115.7407851287</v>
      </c>
      <c r="F18" s="116">
        <f>+Tab01!F17+Tab01!F22+Tab01!F32+Tab01!F33+Tab01!F34+Tab01!F70</f>
        <v>1149454.2885190828</v>
      </c>
      <c r="G18" s="116">
        <f>+Tab01!G17+Tab01!G22+Tab01!G32+Tab01!G33+Tab01!G34+Tab01!G70</f>
        <v>1250609.4590663742</v>
      </c>
      <c r="H18" s="116">
        <f>+Tab01!H17+Tab01!H22+Tab01!H32+Tab01!H33+Tab01!H34+Tab01!H70</f>
        <v>1365146.6632042327</v>
      </c>
      <c r="I18" s="65"/>
    </row>
    <row r="19" spans="1:9" ht="12.75" customHeight="1">
      <c r="A19" s="244" t="s">
        <v>45</v>
      </c>
      <c r="B19" s="240">
        <f aca="true" t="shared" si="3" ref="B19:H19">SUM(B21:B24)</f>
        <v>2136059.95</v>
      </c>
      <c r="C19" s="240">
        <f t="shared" si="3"/>
        <v>2241399.53</v>
      </c>
      <c r="D19" s="240">
        <f t="shared" si="3"/>
        <v>2148006.59</v>
      </c>
      <c r="E19" s="240">
        <f t="shared" si="3"/>
        <v>3535981.0267213187</v>
      </c>
      <c r="F19" s="240">
        <f t="shared" si="3"/>
        <v>3910986.658399413</v>
      </c>
      <c r="G19" s="240">
        <f t="shared" si="3"/>
        <v>4356710.126282008</v>
      </c>
      <c r="H19" s="240">
        <f t="shared" si="3"/>
        <v>4877224.170768008</v>
      </c>
      <c r="I19" s="65"/>
    </row>
    <row r="20" spans="1:9" ht="12.75" customHeight="1">
      <c r="A20" s="245" t="s">
        <v>183</v>
      </c>
      <c r="B20" s="115">
        <f>Tab01!B12</f>
        <v>79565.92</v>
      </c>
      <c r="C20" s="115">
        <f>Tab01!C12</f>
        <v>81704.67</v>
      </c>
      <c r="D20" s="115">
        <f>Tab01!D12</f>
        <v>73747.73</v>
      </c>
      <c r="E20" s="115">
        <f>Tab01!E12</f>
        <v>80221.52698259</v>
      </c>
      <c r="F20" s="115">
        <f>Tab01!F12</f>
        <v>87135.01817794962</v>
      </c>
      <c r="G20" s="115">
        <f>Tab01!G12</f>
        <v>94893.79902857241</v>
      </c>
      <c r="H20" s="115">
        <f>Tab01!H12</f>
        <v>103693.11122489387</v>
      </c>
      <c r="I20" s="65"/>
    </row>
    <row r="21" spans="1:9" ht="12.75" customHeight="1">
      <c r="A21" s="246" t="s">
        <v>129</v>
      </c>
      <c r="B21" s="115">
        <f>+Tab01!B18</f>
        <v>0</v>
      </c>
      <c r="C21" s="115">
        <f>+Tab01!C18</f>
        <v>0</v>
      </c>
      <c r="D21" s="115">
        <f>+Tab01!D18</f>
        <v>0</v>
      </c>
      <c r="E21" s="115">
        <f>+Tab01!E18</f>
        <v>0</v>
      </c>
      <c r="F21" s="115">
        <f>+Tab01!F18</f>
        <v>0</v>
      </c>
      <c r="G21" s="115">
        <f>+Tab01!G18</f>
        <v>0</v>
      </c>
      <c r="H21" s="115">
        <f>+Tab01!H18</f>
        <v>0</v>
      </c>
      <c r="I21" s="65"/>
    </row>
    <row r="22" spans="1:9" ht="12.75" customHeight="1">
      <c r="A22" s="247" t="s">
        <v>46</v>
      </c>
      <c r="B22" s="115">
        <f>+Tab01!B19</f>
        <v>0</v>
      </c>
      <c r="C22" s="115">
        <f>+Tab01!C19</f>
        <v>0</v>
      </c>
      <c r="D22" s="115">
        <f>+Tab01!D19</f>
        <v>0</v>
      </c>
      <c r="E22" s="115">
        <f>+Tab01!E19</f>
        <v>0</v>
      </c>
      <c r="F22" s="115">
        <f>+Tab01!F19</f>
        <v>0</v>
      </c>
      <c r="G22" s="115">
        <f>+Tab01!G19</f>
        <v>0</v>
      </c>
      <c r="H22" s="115">
        <f>+Tab01!H19</f>
        <v>0</v>
      </c>
      <c r="I22" s="57"/>
    </row>
    <row r="23" spans="1:9" ht="12.75" customHeight="1">
      <c r="A23" s="247" t="s">
        <v>182</v>
      </c>
      <c r="B23" s="115">
        <f>Tab01!B28</f>
        <v>0</v>
      </c>
      <c r="C23" s="115">
        <f>Tab01!C28</f>
        <v>0</v>
      </c>
      <c r="D23" s="115">
        <f>Tab01!D28</f>
        <v>0</v>
      </c>
      <c r="E23" s="115">
        <f>Tab01!E28</f>
        <v>0</v>
      </c>
      <c r="F23" s="115">
        <f>Tab01!F28</f>
        <v>0</v>
      </c>
      <c r="G23" s="115">
        <f>Tab01!G28</f>
        <v>0</v>
      </c>
      <c r="H23" s="115">
        <f>Tab01!H28</f>
        <v>0</v>
      </c>
      <c r="I23" s="57"/>
    </row>
    <row r="24" spans="1:9" ht="12.75" customHeight="1">
      <c r="A24" s="246" t="s">
        <v>184</v>
      </c>
      <c r="B24" s="115">
        <f>Tab01!B76</f>
        <v>2136059.95</v>
      </c>
      <c r="C24" s="115">
        <f>Tab01!C76</f>
        <v>2241399.53</v>
      </c>
      <c r="D24" s="115">
        <f>Tab01!D76</f>
        <v>2148006.59</v>
      </c>
      <c r="E24" s="115">
        <f>Tab01!E76</f>
        <v>3535981.0267213187</v>
      </c>
      <c r="F24" s="115">
        <f>Tab01!F76</f>
        <v>3910986.658399413</v>
      </c>
      <c r="G24" s="115">
        <f>Tab01!G76</f>
        <v>4356710.126282008</v>
      </c>
      <c r="H24" s="115">
        <f>Tab01!H76</f>
        <v>4877224.170768008</v>
      </c>
      <c r="I24" s="68"/>
    </row>
    <row r="25" spans="1:9" ht="12.75" customHeight="1">
      <c r="A25" s="239" t="s">
        <v>47</v>
      </c>
      <c r="B25" s="240">
        <f aca="true" t="shared" si="4" ref="B25:H25">+B6-B19</f>
        <v>13126152.91</v>
      </c>
      <c r="C25" s="240">
        <f t="shared" si="4"/>
        <v>14234151.760000002</v>
      </c>
      <c r="D25" s="240">
        <f t="shared" si="4"/>
        <v>13930755.14</v>
      </c>
      <c r="E25" s="240">
        <f t="shared" si="4"/>
        <v>14762732.270657485</v>
      </c>
      <c r="F25" s="240">
        <f t="shared" si="4"/>
        <v>17006873.811873212</v>
      </c>
      <c r="G25" s="240">
        <f t="shared" si="4"/>
        <v>19660860.7155525</v>
      </c>
      <c r="H25" s="240">
        <f t="shared" si="4"/>
        <v>22752016.106958363</v>
      </c>
      <c r="I25" s="69"/>
    </row>
    <row r="26" spans="1:8" ht="12.75" customHeight="1">
      <c r="A26" s="78"/>
      <c r="B26" s="78"/>
      <c r="C26" s="78"/>
      <c r="D26" s="78"/>
      <c r="E26" s="78"/>
      <c r="F26" s="78"/>
      <c r="G26" s="78"/>
      <c r="H26" s="84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3">
    <mergeCell ref="A3:H3"/>
    <mergeCell ref="A1:H1"/>
    <mergeCell ref="A2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0" r:id="rId1"/>
  <headerFooter alignWithMargins="0">
    <oddHeader>&amp;L&amp;D, &amp;T&amp;CPág.&amp;P/&amp;N&amp;R&amp;F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H34"/>
  <sheetViews>
    <sheetView showGridLines="0" view="pageBreakPreview" zoomScaleNormal="90" zoomScaleSheetLayoutView="100" zoomScalePageLayoutView="0" workbookViewId="0" topLeftCell="A1">
      <pane ySplit="6" topLeftCell="A16" activePane="bottomLeft" state="frozen"/>
      <selection pane="topLeft" activeCell="A1" sqref="A1"/>
      <selection pane="bottomLeft" activeCell="D25" sqref="D25"/>
    </sheetView>
  </sheetViews>
  <sheetFormatPr defaultColWidth="9.140625" defaultRowHeight="24" customHeight="1"/>
  <cols>
    <col min="1" max="1" width="80.421875" style="52" customWidth="1"/>
    <col min="2" max="2" width="17.7109375" style="52" customWidth="1"/>
    <col min="3" max="3" width="16.28125" style="52" customWidth="1"/>
    <col min="4" max="4" width="16.140625" style="52" customWidth="1"/>
    <col min="5" max="5" width="17.8515625" style="52" customWidth="1"/>
    <col min="6" max="6" width="16.140625" style="52" customWidth="1"/>
    <col min="7" max="7" width="18.421875" style="62" customWidth="1"/>
    <col min="8" max="8" width="16.140625" style="52" customWidth="1"/>
    <col min="9" max="16384" width="9.140625" style="52" customWidth="1"/>
  </cols>
  <sheetData>
    <row r="1" spans="1:8" s="76" customFormat="1" ht="12.75" customHeight="1">
      <c r="A1" s="288" t="str">
        <f>+Tab01!A1</f>
        <v>MUNICÍPIO DE:</v>
      </c>
      <c r="B1" s="284"/>
      <c r="C1" s="284"/>
      <c r="D1" s="284"/>
      <c r="E1" s="284"/>
      <c r="F1" s="284"/>
      <c r="G1" s="284"/>
      <c r="H1" s="284"/>
    </row>
    <row r="2" spans="1:8" s="76" customFormat="1" ht="12.75" customHeight="1">
      <c r="A2" s="283" t="s">
        <v>251</v>
      </c>
      <c r="B2" s="284"/>
      <c r="C2" s="284"/>
      <c r="D2" s="284"/>
      <c r="E2" s="284"/>
      <c r="F2" s="284"/>
      <c r="G2" s="284"/>
      <c r="H2" s="284"/>
    </row>
    <row r="3" spans="1:8" ht="12.75" customHeight="1">
      <c r="A3" s="289" t="s">
        <v>253</v>
      </c>
      <c r="B3" s="290"/>
      <c r="C3" s="290"/>
      <c r="D3" s="290"/>
      <c r="E3" s="290"/>
      <c r="F3" s="290"/>
      <c r="G3" s="290"/>
      <c r="H3" s="290"/>
    </row>
    <row r="4" spans="1:8" ht="12.75" customHeight="1">
      <c r="A4" s="117"/>
      <c r="B4" s="117"/>
      <c r="C4" s="117"/>
      <c r="D4" s="117"/>
      <c r="E4" s="117"/>
      <c r="F4" s="117"/>
      <c r="G4" s="112"/>
      <c r="H4" s="120" t="s">
        <v>236</v>
      </c>
    </row>
    <row r="5" spans="1:8" ht="12.75" customHeight="1">
      <c r="A5" s="121" t="s">
        <v>1</v>
      </c>
      <c r="B5" s="121"/>
      <c r="C5" s="287" t="s">
        <v>2</v>
      </c>
      <c r="D5" s="287"/>
      <c r="E5" s="287"/>
      <c r="F5" s="287"/>
      <c r="G5" s="287"/>
      <c r="H5" s="287"/>
    </row>
    <row r="6" spans="1:8" ht="12.75" customHeight="1">
      <c r="A6" s="122" t="s">
        <v>3</v>
      </c>
      <c r="B6" s="124">
        <v>2011</v>
      </c>
      <c r="C6" s="123">
        <f>+D6-1</f>
        <v>2012</v>
      </c>
      <c r="D6" s="124">
        <f>+E6-1</f>
        <v>2013</v>
      </c>
      <c r="E6" s="124">
        <f>+F6-1</f>
        <v>2014</v>
      </c>
      <c r="F6" s="124">
        <f>+G6-1</f>
        <v>2015</v>
      </c>
      <c r="G6" s="125">
        <f>+H6-1</f>
        <v>2016</v>
      </c>
      <c r="H6" s="125">
        <f>+Tab05A!E5</f>
        <v>2017</v>
      </c>
    </row>
    <row r="7" spans="1:8" ht="12.75" customHeight="1">
      <c r="A7" s="126" t="s">
        <v>4</v>
      </c>
      <c r="B7" s="127">
        <f>SUM(B8:B12)</f>
        <v>1054878.48</v>
      </c>
      <c r="C7" s="127">
        <f aca="true" t="shared" si="0" ref="C7:H7">SUM(C8:C12)</f>
        <v>946524.37</v>
      </c>
      <c r="D7" s="127">
        <f t="shared" si="0"/>
        <v>1703220.81</v>
      </c>
      <c r="E7" s="127">
        <f t="shared" si="0"/>
        <v>1852734.64236423</v>
      </c>
      <c r="F7" s="127">
        <f t="shared" si="0"/>
        <v>2012403.3138431795</v>
      </c>
      <c r="G7" s="127">
        <f t="shared" si="0"/>
        <v>2191594.1445983807</v>
      </c>
      <c r="H7" s="127">
        <f t="shared" si="0"/>
        <v>2394816.286438699</v>
      </c>
    </row>
    <row r="8" spans="1:8" ht="12.75" customHeight="1">
      <c r="A8" s="128" t="s">
        <v>9</v>
      </c>
      <c r="B8" s="129">
        <f>+Tab01!B11</f>
        <v>36343.86</v>
      </c>
      <c r="C8" s="129">
        <f>+Tab01!C11</f>
        <v>44165.45</v>
      </c>
      <c r="D8" s="129">
        <f>+Tab01!D11</f>
        <v>65816.74</v>
      </c>
      <c r="E8" s="129">
        <f>+Tab01!E11</f>
        <v>71594.33088742</v>
      </c>
      <c r="F8" s="129">
        <f>+Tab01!F11</f>
        <v>77764.33032329785</v>
      </c>
      <c r="G8" s="129">
        <f>+Tab01!G11</f>
        <v>84688.71514114132</v>
      </c>
      <c r="H8" s="129">
        <f>+Tab01!H11</f>
        <v>92541.73031874908</v>
      </c>
    </row>
    <row r="9" spans="1:8" ht="12.75" customHeight="1">
      <c r="A9" s="130" t="s">
        <v>106</v>
      </c>
      <c r="B9" s="131">
        <f>+Tab01!B12</f>
        <v>79565.92</v>
      </c>
      <c r="C9" s="131">
        <f>+Tab01!C12</f>
        <v>81704.67</v>
      </c>
      <c r="D9" s="131">
        <f>+Tab01!D12</f>
        <v>73747.73</v>
      </c>
      <c r="E9" s="131">
        <f>+Tab01!E12</f>
        <v>80221.52698259</v>
      </c>
      <c r="F9" s="131">
        <f>+Tab01!F12</f>
        <v>87135.01817794962</v>
      </c>
      <c r="G9" s="131">
        <f>+Tab01!G12</f>
        <v>94893.79902857241</v>
      </c>
      <c r="H9" s="131">
        <f>+Tab01!H12</f>
        <v>103693.11122489387</v>
      </c>
    </row>
    <row r="10" spans="1:8" ht="12.75" customHeight="1">
      <c r="A10" s="128" t="s">
        <v>10</v>
      </c>
      <c r="B10" s="129">
        <f>+Tab01!B13</f>
        <v>173219.72</v>
      </c>
      <c r="C10" s="129">
        <f>+Tab01!C13</f>
        <v>696321.2</v>
      </c>
      <c r="D10" s="129">
        <f>+Tab01!D13</f>
        <v>503827</v>
      </c>
      <c r="E10" s="129">
        <f>+Tab01!E13</f>
        <v>548054.445541</v>
      </c>
      <c r="F10" s="129">
        <f>+Tab01!F13</f>
        <v>595285.7776577234</v>
      </c>
      <c r="G10" s="129">
        <f>+Tab01!G13</f>
        <v>648291.9282148556</v>
      </c>
      <c r="H10" s="129">
        <f>+Tab01!H13</f>
        <v>708406.7421343627</v>
      </c>
    </row>
    <row r="11" spans="1:8" ht="12.75" customHeight="1">
      <c r="A11" s="128" t="s">
        <v>11</v>
      </c>
      <c r="B11" s="129">
        <f>+Tab01!B14</f>
        <v>126839.38</v>
      </c>
      <c r="C11" s="129">
        <f>+Tab01!C14</f>
        <v>124333.05</v>
      </c>
      <c r="D11" s="129">
        <f>+Tab01!D14</f>
        <v>131767.79</v>
      </c>
      <c r="E11" s="129">
        <f>+Tab01!E14</f>
        <v>143334.76190957002</v>
      </c>
      <c r="F11" s="129">
        <f>+Tab01!F14</f>
        <v>155687.35169093678</v>
      </c>
      <c r="G11" s="129">
        <f>+Tab01!G14</f>
        <v>169550.2516850232</v>
      </c>
      <c r="H11" s="129">
        <f>+Tab01!H14</f>
        <v>185272.30742327202</v>
      </c>
    </row>
    <row r="12" spans="1:8" ht="12.75" customHeight="1">
      <c r="A12" s="128" t="s">
        <v>244</v>
      </c>
      <c r="B12" s="129">
        <f>+Tab01!B71+Tab01!B73</f>
        <v>638909.6000000001</v>
      </c>
      <c r="C12" s="129">
        <f>+Tab01!C71+Tab01!C73</f>
        <v>0</v>
      </c>
      <c r="D12" s="129">
        <f>+Tab01!D71+Tab01!D73</f>
        <v>928061.5499999999</v>
      </c>
      <c r="E12" s="129">
        <f>+Tab01!E71+Tab01!E73</f>
        <v>1009529.57704365</v>
      </c>
      <c r="F12" s="129">
        <f>+Tab01!F71+Tab01!F73</f>
        <v>1096530.8359932718</v>
      </c>
      <c r="G12" s="129">
        <f>+Tab01!G71+Tab01!G73</f>
        <v>1194169.450528788</v>
      </c>
      <c r="H12" s="129">
        <f>+Tab01!H71+Tab01!H73</f>
        <v>1304902.3953374214</v>
      </c>
    </row>
    <row r="13" spans="1:8" ht="12.75" customHeight="1">
      <c r="A13" s="126" t="s">
        <v>5</v>
      </c>
      <c r="B13" s="127">
        <f>SUM(B14:B16)</f>
        <v>5042610.009999999</v>
      </c>
      <c r="C13" s="127">
        <f aca="true" t="shared" si="1" ref="C13:H13">SUM(C14:C16)</f>
        <v>5171679.450000001</v>
      </c>
      <c r="D13" s="127">
        <f t="shared" si="1"/>
        <v>5091839.779999999</v>
      </c>
      <c r="E13" s="127">
        <f t="shared" si="1"/>
        <v>5834578.81094893</v>
      </c>
      <c r="F13" s="127">
        <f t="shared" si="1"/>
        <v>6718138.253184982</v>
      </c>
      <c r="G13" s="127">
        <f t="shared" si="1"/>
        <v>7768317.624922857</v>
      </c>
      <c r="H13" s="127">
        <f t="shared" si="1"/>
        <v>8994712.804014103</v>
      </c>
    </row>
    <row r="14" spans="1:8" ht="12.75" customHeight="1">
      <c r="A14" s="132" t="s">
        <v>19</v>
      </c>
      <c r="B14" s="129">
        <f>+Tab01!B52</f>
        <v>118699.06</v>
      </c>
      <c r="C14" s="129">
        <f>+Tab01!C52</f>
        <v>92239.15</v>
      </c>
      <c r="D14" s="129">
        <f>+Tab01!D52</f>
        <v>97898.38</v>
      </c>
      <c r="E14" s="129">
        <f>+Tab01!E52</f>
        <v>112178.66984303</v>
      </c>
      <c r="F14" s="129">
        <f>+Tab01!F52</f>
        <v>129166.44671070926</v>
      </c>
      <c r="G14" s="129">
        <f>+Tab01!G52</f>
        <v>149357.74566052732</v>
      </c>
      <c r="H14" s="129">
        <f>+Tab01!H52</f>
        <v>172937.0620687987</v>
      </c>
    </row>
    <row r="15" spans="1:8" ht="12.75" customHeight="1">
      <c r="A15" s="133" t="s">
        <v>15</v>
      </c>
      <c r="B15" s="129">
        <f>+Tab01!B50</f>
        <v>4861641.52</v>
      </c>
      <c r="C15" s="129">
        <f>+Tab01!C50</f>
        <v>5007870.07</v>
      </c>
      <c r="D15" s="129">
        <f>+Tab01!D50</f>
        <v>4911127.31</v>
      </c>
      <c r="E15" s="129">
        <f>+Tab01!E50</f>
        <v>5627506.084018734</v>
      </c>
      <c r="F15" s="129">
        <f>+Tab01!F50</f>
        <v>6479707.467852112</v>
      </c>
      <c r="G15" s="129">
        <f>+Tab01!G50</f>
        <v>7492615.339226753</v>
      </c>
      <c r="H15" s="129">
        <f>+Tab01!H50</f>
        <v>8675485.012491956</v>
      </c>
    </row>
    <row r="16" spans="1:8" ht="12.75" customHeight="1">
      <c r="A16" s="133" t="s">
        <v>17</v>
      </c>
      <c r="B16" s="129">
        <f>+Tab01!B51</f>
        <v>62269.43</v>
      </c>
      <c r="C16" s="129">
        <f>+Tab01!C51</f>
        <v>71570.23</v>
      </c>
      <c r="D16" s="129">
        <f>+Tab01!D51</f>
        <v>82814.09</v>
      </c>
      <c r="E16" s="129">
        <f>+Tab01!E51</f>
        <v>94894.057087165</v>
      </c>
      <c r="F16" s="129">
        <f>+Tab01!F51</f>
        <v>109264.33862215985</v>
      </c>
      <c r="G16" s="129">
        <f>+Tab01!G51</f>
        <v>126344.54003557588</v>
      </c>
      <c r="H16" s="129">
        <f>+Tab01!H51</f>
        <v>146290.7294533483</v>
      </c>
    </row>
    <row r="17" spans="1:8" ht="12.75" customHeight="1">
      <c r="A17" s="126" t="s">
        <v>7</v>
      </c>
      <c r="B17" s="127">
        <f>SUM(B18:B20)</f>
        <v>5862632.93</v>
      </c>
      <c r="C17" s="127">
        <f aca="true" t="shared" si="2" ref="C17:H17">SUM(C18:C20)</f>
        <v>6043992.76</v>
      </c>
      <c r="D17" s="127">
        <f t="shared" si="2"/>
        <v>5713707.090000001</v>
      </c>
      <c r="E17" s="127">
        <f t="shared" si="2"/>
        <v>6547156.972657665</v>
      </c>
      <c r="F17" s="127">
        <f t="shared" si="2"/>
        <v>7538625.68881208</v>
      </c>
      <c r="G17" s="127">
        <f t="shared" si="2"/>
        <v>8717063.656487184</v>
      </c>
      <c r="H17" s="127">
        <f t="shared" si="2"/>
        <v>10093238.699825937</v>
      </c>
    </row>
    <row r="18" spans="1:8" ht="12.75" customHeight="1">
      <c r="A18" s="133" t="s">
        <v>127</v>
      </c>
      <c r="B18" s="129">
        <f>+Tab01!B46</f>
        <v>48856.56</v>
      </c>
      <c r="C18" s="129">
        <f>+Tab01!C46</f>
        <v>42292.25</v>
      </c>
      <c r="D18" s="129">
        <f>+Tab01!D46</f>
        <v>43061.2</v>
      </c>
      <c r="E18" s="129">
        <f>+Tab01!E46</f>
        <v>49342.47265219999</v>
      </c>
      <c r="F18" s="129">
        <f>+Tab01!F46</f>
        <v>56814.6499982859</v>
      </c>
      <c r="G18" s="129">
        <f>+Tab01!G46</f>
        <v>65695.91608601795</v>
      </c>
      <c r="H18" s="129">
        <f>+Tab01!H46</f>
        <v>76067.42233280012</v>
      </c>
    </row>
    <row r="19" spans="1:8" ht="12.75" customHeight="1">
      <c r="A19" s="133" t="s">
        <v>18</v>
      </c>
      <c r="B19" s="134">
        <f>+Tab01!B40</f>
        <v>5293193.59</v>
      </c>
      <c r="C19" s="134">
        <f>+Tab01!C40</f>
        <v>5464630.84</v>
      </c>
      <c r="D19" s="134">
        <f>+Tab01!D40</f>
        <v>5441865.19</v>
      </c>
      <c r="E19" s="134">
        <f>+Tab01!E40</f>
        <v>6235661.902467515</v>
      </c>
      <c r="F19" s="134">
        <f>+Tab01!F40</f>
        <v>7179959.362667684</v>
      </c>
      <c r="G19" s="134">
        <f>+Tab01!G40</f>
        <v>8302330.610239897</v>
      </c>
      <c r="H19" s="134">
        <f>+Tab01!H40</f>
        <v>9613031.166941324</v>
      </c>
    </row>
    <row r="20" spans="1:8" ht="12.75" customHeight="1">
      <c r="A20" s="133" t="s">
        <v>14</v>
      </c>
      <c r="B20" s="134">
        <f>+Tab01!B41</f>
        <v>520582.78</v>
      </c>
      <c r="C20" s="134">
        <f>+Tab01!C41</f>
        <v>537069.67</v>
      </c>
      <c r="D20" s="134">
        <f>+Tab01!D41</f>
        <v>228780.7</v>
      </c>
      <c r="E20" s="134">
        <f>+Tab01!E41</f>
        <v>262152.59753795003</v>
      </c>
      <c r="F20" s="134">
        <f>+Tab01!F41</f>
        <v>301851.67614610953</v>
      </c>
      <c r="G20" s="134">
        <f>+Tab01!G41</f>
        <v>349037.1301612694</v>
      </c>
      <c r="H20" s="134">
        <f>+Tab01!H41</f>
        <v>404140.11055181123</v>
      </c>
    </row>
    <row r="21" spans="1:8" ht="12.75" customHeight="1">
      <c r="A21" s="135" t="s">
        <v>207</v>
      </c>
      <c r="B21" s="136">
        <f>B7+B13+B17</f>
        <v>11960121.419999998</v>
      </c>
      <c r="C21" s="136">
        <f aca="true" t="shared" si="3" ref="C21:H21">C7+C13+C17</f>
        <v>12162196.580000002</v>
      </c>
      <c r="D21" s="136">
        <f t="shared" si="3"/>
        <v>12508767.68</v>
      </c>
      <c r="E21" s="136">
        <f t="shared" si="3"/>
        <v>14234470.425970824</v>
      </c>
      <c r="F21" s="136">
        <f t="shared" si="3"/>
        <v>16269167.255840242</v>
      </c>
      <c r="G21" s="136">
        <f t="shared" si="3"/>
        <v>18676975.42600842</v>
      </c>
      <c r="H21" s="136">
        <f t="shared" si="3"/>
        <v>21482767.79027874</v>
      </c>
    </row>
    <row r="22" spans="1:8" ht="12.75" customHeight="1">
      <c r="A22" s="135"/>
      <c r="B22" s="136"/>
      <c r="C22" s="136"/>
      <c r="D22" s="136"/>
      <c r="E22" s="136"/>
      <c r="F22" s="136"/>
      <c r="G22" s="136"/>
      <c r="H22" s="136"/>
    </row>
    <row r="23" spans="1:8" ht="12.75" customHeight="1">
      <c r="A23" s="126" t="s">
        <v>208</v>
      </c>
      <c r="B23" s="136">
        <f>Tab01!B24+Tab01!B61</f>
        <v>1744630.69</v>
      </c>
      <c r="C23" s="136">
        <f>Tab01!C24+Tab01!C61</f>
        <v>1948529.5</v>
      </c>
      <c r="D23" s="136">
        <v>1994931.82</v>
      </c>
      <c r="E23" s="136">
        <f>Tab01!E24+Tab01!E61</f>
        <v>2288916.0485399156</v>
      </c>
      <c r="F23" s="136">
        <f>Tab01!F24+Tab01!F61</f>
        <v>2635360.139091561</v>
      </c>
      <c r="G23" s="136">
        <f>Tab01!G24+Tab01!G61</f>
        <v>3047106.0825585863</v>
      </c>
      <c r="H23" s="136">
        <f>Tab01!H24+Tab01!H61</f>
        <v>3527926.7621510047</v>
      </c>
    </row>
    <row r="24" spans="1:8" ht="12.75" customHeight="1">
      <c r="A24" s="126" t="s">
        <v>209</v>
      </c>
      <c r="B24" s="136">
        <f>Tab01!B77</f>
        <v>2136059.95</v>
      </c>
      <c r="C24" s="136">
        <f>Tab01!C77</f>
        <v>2241399.53</v>
      </c>
      <c r="D24" s="136">
        <v>2148006.59</v>
      </c>
      <c r="E24" s="136">
        <f>Tab01!E77</f>
        <v>2476347.1567213186</v>
      </c>
      <c r="F24" s="136">
        <f>Tab01!F77</f>
        <v>2851352.7883994128</v>
      </c>
      <c r="G24" s="136">
        <f>Tab01!G77</f>
        <v>3297076.2562820083</v>
      </c>
      <c r="H24" s="136">
        <f>Tab01!H77</f>
        <v>3817590.3007680075</v>
      </c>
    </row>
    <row r="25" spans="1:8" ht="12.75" customHeight="1">
      <c r="A25" s="137" t="s">
        <v>210</v>
      </c>
      <c r="B25" s="138">
        <f aca="true" t="shared" si="4" ref="B25:H25">B23-B24</f>
        <v>-391429.26000000024</v>
      </c>
      <c r="C25" s="138">
        <f t="shared" si="4"/>
        <v>-292870.0299999998</v>
      </c>
      <c r="D25" s="138">
        <f t="shared" si="4"/>
        <v>-153074.7699999998</v>
      </c>
      <c r="E25" s="138">
        <f t="shared" si="4"/>
        <v>-187431.10818140302</v>
      </c>
      <c r="F25" s="138">
        <f t="shared" si="4"/>
        <v>-215992.64930785168</v>
      </c>
      <c r="G25" s="138">
        <f t="shared" si="4"/>
        <v>-249970.173723422</v>
      </c>
      <c r="H25" s="138">
        <f t="shared" si="4"/>
        <v>-289663.5386170028</v>
      </c>
    </row>
    <row r="26" spans="1:8" ht="12.75" customHeight="1">
      <c r="A26" s="122" t="s">
        <v>185</v>
      </c>
      <c r="B26" s="122"/>
      <c r="C26" s="139"/>
      <c r="D26" s="139"/>
      <c r="E26" s="139"/>
      <c r="F26" s="139"/>
      <c r="G26" s="139"/>
      <c r="H26" s="139"/>
    </row>
    <row r="27" spans="1:8" ht="12.75" customHeight="1">
      <c r="A27" s="140" t="s">
        <v>211</v>
      </c>
      <c r="B27" s="278">
        <v>1241793.29</v>
      </c>
      <c r="C27" s="85">
        <v>1332538.88</v>
      </c>
      <c r="D27" s="280">
        <v>2099430.7</v>
      </c>
      <c r="E27" s="138">
        <f>D27*(1+Parâmetros!C14)*(1+Parâmetros!C16)*(1+Parâmetros!C20)</f>
        <v>2332503.6179080405</v>
      </c>
      <c r="F27" s="138">
        <f>E27*(1+Parâmetros!D14)*(1+Parâmetros!D16)*(1+Parâmetros!D20)</f>
        <v>2587527.900972016</v>
      </c>
      <c r="G27" s="138">
        <f>F27*(1+Parâmetros!E14)*(1+Parâmetros!E16)*(1+Parâmetros!E20)</f>
        <v>2869609.8426243807</v>
      </c>
      <c r="H27" s="138">
        <f>G27*(1+Parâmetros!F14)*(1+Parâmetros!F16)*(1+Parâmetros!F20)</f>
        <v>3196005.0053441627</v>
      </c>
    </row>
    <row r="28" spans="1:8" ht="12.75" customHeight="1">
      <c r="A28" s="141" t="s">
        <v>212</v>
      </c>
      <c r="B28" s="279">
        <v>1864262.16</v>
      </c>
      <c r="C28" s="85">
        <v>1817342.36</v>
      </c>
      <c r="D28" s="280">
        <v>642459.64</v>
      </c>
      <c r="E28" s="138">
        <f>D28*(1+Parâmetros!C14)*(1+Parâmetros!C17)</f>
        <v>678501.6258040001</v>
      </c>
      <c r="F28" s="138">
        <f>E28*(1+Parâmetros!D14)*(1+Parâmetros!D17)</f>
        <v>714122.9611587101</v>
      </c>
      <c r="G28" s="138">
        <f>F28*(1+Parâmetros!E14)*(1+Parâmetros!E17)</f>
        <v>750686.056770036</v>
      </c>
      <c r="H28" s="138">
        <f>G28*(1+Parâmetros!F14)*(1+Parâmetros!F17)</f>
        <v>788745.8398482768</v>
      </c>
    </row>
    <row r="29" spans="1:8" ht="12.75" customHeight="1">
      <c r="A29" s="142" t="s">
        <v>213</v>
      </c>
      <c r="B29" s="258"/>
      <c r="C29" s="86"/>
      <c r="D29" s="281">
        <v>43000</v>
      </c>
      <c r="E29" s="248">
        <f>D29*(1+Parâmetros!C14)*(1+Parâmetros!C21)</f>
        <v>45412.3</v>
      </c>
      <c r="F29" s="248">
        <f>E29*(1+Parâmetros!D14)*(1+Parâmetros!D21)</f>
        <v>47796.445750000006</v>
      </c>
      <c r="G29" s="248">
        <f>F29*(1+Parâmetros!E14)*(1+Parâmetros!E21)</f>
        <v>50243.6237724</v>
      </c>
      <c r="H29" s="248">
        <f>G29*(1+Parâmetros!F14)*(1+Parâmetros!F21)</f>
        <v>52790.97549766068</v>
      </c>
    </row>
    <row r="30" spans="1:8" ht="12.75" customHeight="1">
      <c r="A30" s="126" t="s">
        <v>241</v>
      </c>
      <c r="B30" s="136">
        <f aca="true" t="shared" si="5" ref="B30:H30">B27+B28+B29+(-B25)</f>
        <v>3497484.7100000004</v>
      </c>
      <c r="C30" s="136">
        <f t="shared" si="5"/>
        <v>3442751.27</v>
      </c>
      <c r="D30" s="136">
        <f t="shared" si="5"/>
        <v>2937965.1100000003</v>
      </c>
      <c r="E30" s="136">
        <f t="shared" si="5"/>
        <v>3243848.6518934434</v>
      </c>
      <c r="F30" s="136">
        <f t="shared" si="5"/>
        <v>3565439.957188578</v>
      </c>
      <c r="G30" s="136">
        <f t="shared" si="5"/>
        <v>3920509.6968902387</v>
      </c>
      <c r="H30" s="136">
        <f t="shared" si="5"/>
        <v>4327205.359307103</v>
      </c>
    </row>
    <row r="31" spans="1:8" ht="12.75" customHeight="1">
      <c r="A31" s="143"/>
      <c r="B31" s="143"/>
      <c r="C31" s="129"/>
      <c r="D31" s="129"/>
      <c r="E31" s="129"/>
      <c r="F31" s="129"/>
      <c r="G31" s="129"/>
      <c r="H31" s="129"/>
    </row>
    <row r="32" spans="1:8" ht="12.75" customHeight="1">
      <c r="A32" s="144" t="s">
        <v>214</v>
      </c>
      <c r="B32" s="145">
        <f aca="true" t="shared" si="6" ref="B32:H32">(25%*(B21))+(B25)</f>
        <v>2598601.0949999993</v>
      </c>
      <c r="C32" s="145">
        <f t="shared" si="6"/>
        <v>2747679.1150000007</v>
      </c>
      <c r="D32" s="145">
        <f t="shared" si="6"/>
        <v>2974117.1500000004</v>
      </c>
      <c r="E32" s="145">
        <f t="shared" si="6"/>
        <v>3371186.498311303</v>
      </c>
      <c r="F32" s="145">
        <f t="shared" si="6"/>
        <v>3851299.164652209</v>
      </c>
      <c r="G32" s="145">
        <f t="shared" si="6"/>
        <v>4419273.682778683</v>
      </c>
      <c r="H32" s="145">
        <f t="shared" si="6"/>
        <v>5081028.408952682</v>
      </c>
    </row>
    <row r="33" spans="1:8" ht="12.75" customHeight="1">
      <c r="A33" s="249"/>
      <c r="B33" s="249"/>
      <c r="C33" s="249"/>
      <c r="D33" s="249"/>
      <c r="E33" s="249"/>
      <c r="F33" s="249"/>
      <c r="G33" s="250"/>
      <c r="H33" s="249"/>
    </row>
    <row r="34" spans="1:8" ht="12.75" customHeight="1">
      <c r="A34" s="251" t="s">
        <v>215</v>
      </c>
      <c r="B34" s="259">
        <f aca="true" t="shared" si="7" ref="B34:H34">B30/B21</f>
        <v>0.2924288631511235</v>
      </c>
      <c r="C34" s="252">
        <f t="shared" si="7"/>
        <v>0.2830698589152388</v>
      </c>
      <c r="D34" s="252">
        <f t="shared" si="7"/>
        <v>0.2348724658702751</v>
      </c>
      <c r="E34" s="252">
        <f t="shared" si="7"/>
        <v>0.22788685176338094</v>
      </c>
      <c r="F34" s="252">
        <f t="shared" si="7"/>
        <v>0.21915319334544736</v>
      </c>
      <c r="G34" s="252">
        <f t="shared" si="7"/>
        <v>0.2099113805884638</v>
      </c>
      <c r="H34" s="252">
        <f t="shared" si="7"/>
        <v>0.20142680875902896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4">
    <mergeCell ref="C5:H5"/>
    <mergeCell ref="A2:H2"/>
    <mergeCell ref="A1:H1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1" r:id="rId1"/>
  <headerFooter alignWithMargins="0">
    <oddHeader>&amp;L&amp;D, &amp;T&amp;CPág.&amp;P/&amp;N&amp;R&amp;F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H27"/>
  <sheetViews>
    <sheetView showGridLines="0"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28" sqref="C28"/>
    </sheetView>
  </sheetViews>
  <sheetFormatPr defaultColWidth="9.140625" defaultRowHeight="24" customHeight="1"/>
  <cols>
    <col min="1" max="1" width="79.00390625" style="52" customWidth="1"/>
    <col min="2" max="2" width="17.28125" style="52" customWidth="1"/>
    <col min="3" max="3" width="14.8515625" style="52" customWidth="1"/>
    <col min="4" max="4" width="16.140625" style="52" customWidth="1"/>
    <col min="5" max="5" width="16.8515625" style="52" customWidth="1"/>
    <col min="6" max="6" width="17.28125" style="52" customWidth="1"/>
    <col min="7" max="7" width="15.7109375" style="52" customWidth="1"/>
    <col min="8" max="8" width="15.57421875" style="52" customWidth="1"/>
    <col min="9" max="10" width="22.7109375" style="52" customWidth="1"/>
    <col min="11" max="16384" width="9.140625" style="52" customWidth="1"/>
  </cols>
  <sheetData>
    <row r="1" spans="1:8" s="76" customFormat="1" ht="12.75" customHeight="1">
      <c r="A1" s="288" t="str">
        <f>+Tab01!A1</f>
        <v>MUNICÍPIO DE:</v>
      </c>
      <c r="B1" s="288"/>
      <c r="C1" s="288"/>
      <c r="D1" s="288"/>
      <c r="E1" s="288"/>
      <c r="F1" s="288"/>
      <c r="G1" s="288"/>
      <c r="H1" s="288"/>
    </row>
    <row r="2" spans="1:8" s="50" customFormat="1" ht="12.75" customHeight="1">
      <c r="A2" s="283" t="s">
        <v>251</v>
      </c>
      <c r="B2" s="284"/>
      <c r="C2" s="284"/>
      <c r="D2" s="284"/>
      <c r="E2" s="284"/>
      <c r="F2" s="284"/>
      <c r="G2" s="284"/>
      <c r="H2" s="284"/>
    </row>
    <row r="3" spans="1:8" s="50" customFormat="1" ht="12.75" customHeight="1">
      <c r="A3" s="291" t="s">
        <v>254</v>
      </c>
      <c r="B3" s="292"/>
      <c r="C3" s="292"/>
      <c r="D3" s="292"/>
      <c r="E3" s="292"/>
      <c r="F3" s="292"/>
      <c r="G3" s="292"/>
      <c r="H3" s="292"/>
    </row>
    <row r="4" spans="1:8" ht="12.75" customHeight="1">
      <c r="A4" s="119"/>
      <c r="B4" s="119"/>
      <c r="C4" s="119"/>
      <c r="D4" s="119"/>
      <c r="E4" s="119"/>
      <c r="F4" s="119"/>
      <c r="G4" s="119"/>
      <c r="H4" s="120" t="str">
        <f>+Tab02!H4</f>
        <v>R$ mil</v>
      </c>
    </row>
    <row r="5" spans="1:8" ht="12.75" customHeight="1">
      <c r="A5" s="121" t="s">
        <v>187</v>
      </c>
      <c r="B5" s="121">
        <v>2011</v>
      </c>
      <c r="C5" s="121">
        <f>+D5-1</f>
        <v>2012</v>
      </c>
      <c r="D5" s="121">
        <f>+E5-1</f>
        <v>2013</v>
      </c>
      <c r="E5" s="121">
        <f>+F5-1</f>
        <v>2014</v>
      </c>
      <c r="F5" s="121">
        <f>+G5-1</f>
        <v>2015</v>
      </c>
      <c r="G5" s="146">
        <f>+H5-1</f>
        <v>2016</v>
      </c>
      <c r="H5" s="146">
        <f>+Tab02!H6</f>
        <v>2017</v>
      </c>
    </row>
    <row r="6" spans="1:8" ht="12.75" customHeight="1">
      <c r="A6" s="144" t="s">
        <v>8</v>
      </c>
      <c r="B6" s="145">
        <f>SUM(B7:B11)</f>
        <v>1054878.48</v>
      </c>
      <c r="C6" s="145">
        <f aca="true" t="shared" si="0" ref="C6:H6">SUM(C7:C11)</f>
        <v>946524.37</v>
      </c>
      <c r="D6" s="145">
        <f t="shared" si="0"/>
        <v>1703220.81</v>
      </c>
      <c r="E6" s="145">
        <f t="shared" si="0"/>
        <v>1852734.64236423</v>
      </c>
      <c r="F6" s="145">
        <f t="shared" si="0"/>
        <v>2012403.3138431795</v>
      </c>
      <c r="G6" s="145">
        <f t="shared" si="0"/>
        <v>2191594.1445983807</v>
      </c>
      <c r="H6" s="145">
        <f t="shared" si="0"/>
        <v>2394816.286438699</v>
      </c>
    </row>
    <row r="7" spans="1:8" ht="12.75" customHeight="1">
      <c r="A7" s="133" t="s">
        <v>9</v>
      </c>
      <c r="B7" s="147">
        <f>Tab01!B11</f>
        <v>36343.86</v>
      </c>
      <c r="C7" s="147">
        <f>Tab01!C11</f>
        <v>44165.45</v>
      </c>
      <c r="D7" s="147">
        <f>Tab01!D11</f>
        <v>65816.74</v>
      </c>
      <c r="E7" s="147">
        <f>Tab01!E11</f>
        <v>71594.33088742</v>
      </c>
      <c r="F7" s="147">
        <f>Tab01!F11</f>
        <v>77764.33032329785</v>
      </c>
      <c r="G7" s="147">
        <f>Tab01!G11</f>
        <v>84688.71514114132</v>
      </c>
      <c r="H7" s="147">
        <f>Tab01!H11</f>
        <v>92541.73031874908</v>
      </c>
    </row>
    <row r="8" spans="1:8" ht="12.75" customHeight="1">
      <c r="A8" s="148" t="s">
        <v>106</v>
      </c>
      <c r="B8" s="147">
        <f>Tab01!B12</f>
        <v>79565.92</v>
      </c>
      <c r="C8" s="147">
        <f>Tab01!C12</f>
        <v>81704.67</v>
      </c>
      <c r="D8" s="147">
        <f>Tab01!D12</f>
        <v>73747.73</v>
      </c>
      <c r="E8" s="147">
        <f>Tab01!E12</f>
        <v>80221.52698259</v>
      </c>
      <c r="F8" s="147">
        <f>Tab01!F12</f>
        <v>87135.01817794962</v>
      </c>
      <c r="G8" s="147">
        <f>Tab01!G12</f>
        <v>94893.79902857241</v>
      </c>
      <c r="H8" s="147">
        <f>Tab01!H12</f>
        <v>103693.11122489387</v>
      </c>
    </row>
    <row r="9" spans="1:8" ht="12.75" customHeight="1">
      <c r="A9" s="133" t="s">
        <v>10</v>
      </c>
      <c r="B9" s="147">
        <f>Tab01!B13</f>
        <v>173219.72</v>
      </c>
      <c r="C9" s="147">
        <f>Tab01!C13</f>
        <v>696321.2</v>
      </c>
      <c r="D9" s="147">
        <f>Tab01!D13</f>
        <v>503827</v>
      </c>
      <c r="E9" s="147">
        <f>Tab01!E13</f>
        <v>548054.445541</v>
      </c>
      <c r="F9" s="147">
        <f>Tab01!F13</f>
        <v>595285.7776577234</v>
      </c>
      <c r="G9" s="147">
        <f>Tab01!G13</f>
        <v>648291.9282148556</v>
      </c>
      <c r="H9" s="147">
        <f>Tab01!H13</f>
        <v>708406.7421343627</v>
      </c>
    </row>
    <row r="10" spans="1:8" ht="12.75" customHeight="1">
      <c r="A10" s="133" t="s">
        <v>11</v>
      </c>
      <c r="B10" s="147">
        <f>Tab01!B14</f>
        <v>126839.38</v>
      </c>
      <c r="C10" s="147">
        <f>Tab01!C14</f>
        <v>124333.05</v>
      </c>
      <c r="D10" s="147">
        <f>Tab01!D14</f>
        <v>131767.79</v>
      </c>
      <c r="E10" s="147">
        <f>Tab01!E14</f>
        <v>143334.76190957002</v>
      </c>
      <c r="F10" s="147">
        <f>Tab01!F14</f>
        <v>155687.35169093678</v>
      </c>
      <c r="G10" s="147">
        <f>Tab01!G14</f>
        <v>169550.2516850232</v>
      </c>
      <c r="H10" s="147">
        <f>Tab01!H14</f>
        <v>185272.30742327202</v>
      </c>
    </row>
    <row r="11" spans="1:8" ht="12.75" customHeight="1">
      <c r="A11" s="133" t="str">
        <f>+Tab02!A12</f>
        <v>Receita da Dívida Ativa, Multas e Juros de Mora (Origem em Impostos)</v>
      </c>
      <c r="B11" s="147">
        <f>+Tab02!B12</f>
        <v>638909.6000000001</v>
      </c>
      <c r="C11" s="147">
        <f>+Tab02!C12</f>
        <v>0</v>
      </c>
      <c r="D11" s="147">
        <f>+Tab02!D12</f>
        <v>928061.5499999999</v>
      </c>
      <c r="E11" s="147">
        <f>+Tab02!E12</f>
        <v>1009529.57704365</v>
      </c>
      <c r="F11" s="147">
        <f>+Tab02!F12</f>
        <v>1096530.8359932718</v>
      </c>
      <c r="G11" s="147">
        <f>+Tab02!G12</f>
        <v>1194169.450528788</v>
      </c>
      <c r="H11" s="147">
        <f>+Tab02!H12</f>
        <v>1304902.3953374214</v>
      </c>
    </row>
    <row r="12" spans="1:8" ht="12.75" customHeight="1">
      <c r="A12" s="149" t="s">
        <v>13</v>
      </c>
      <c r="B12" s="111">
        <f>SUM(B13:B18)</f>
        <v>10905242.939999998</v>
      </c>
      <c r="C12" s="111">
        <f aca="true" t="shared" si="1" ref="C12:H12">SUM(C13:C18)</f>
        <v>11215672.21</v>
      </c>
      <c r="D12" s="111">
        <f t="shared" si="1"/>
        <v>10805546.870000001</v>
      </c>
      <c r="E12" s="111">
        <f t="shared" si="1"/>
        <v>12381735.783606593</v>
      </c>
      <c r="F12" s="111">
        <f t="shared" si="1"/>
        <v>14256763.941997062</v>
      </c>
      <c r="G12" s="111">
        <f t="shared" si="1"/>
        <v>16485381.281410038</v>
      </c>
      <c r="H12" s="111">
        <f t="shared" si="1"/>
        <v>19087951.50384004</v>
      </c>
    </row>
    <row r="13" spans="1:8" ht="12.75" customHeight="1">
      <c r="A13" s="133" t="s">
        <v>18</v>
      </c>
      <c r="B13" s="147">
        <f>Tab01!B40</f>
        <v>5293193.59</v>
      </c>
      <c r="C13" s="147">
        <f>Tab01!C40</f>
        <v>5464630.84</v>
      </c>
      <c r="D13" s="147">
        <f>Tab01!D40</f>
        <v>5441865.19</v>
      </c>
      <c r="E13" s="147">
        <f>Tab01!E40</f>
        <v>6235661.902467515</v>
      </c>
      <c r="F13" s="147">
        <f>Tab01!F40</f>
        <v>7179959.362667684</v>
      </c>
      <c r="G13" s="147">
        <f>Tab01!G40</f>
        <v>8302330.610239897</v>
      </c>
      <c r="H13" s="147">
        <f>Tab01!H40</f>
        <v>9613031.166941324</v>
      </c>
    </row>
    <row r="14" spans="1:8" ht="12.75" customHeight="1">
      <c r="A14" s="133" t="s">
        <v>14</v>
      </c>
      <c r="B14" s="147">
        <f>Tab01!B41</f>
        <v>520582.78</v>
      </c>
      <c r="C14" s="147">
        <f>Tab01!C41</f>
        <v>537069.67</v>
      </c>
      <c r="D14" s="147">
        <f>Tab01!D41</f>
        <v>228780.7</v>
      </c>
      <c r="E14" s="147">
        <f>Tab01!E41</f>
        <v>262152.59753795003</v>
      </c>
      <c r="F14" s="147">
        <f>Tab01!F41</f>
        <v>301851.67614610953</v>
      </c>
      <c r="G14" s="147">
        <f>Tab01!G41</f>
        <v>349037.1301612694</v>
      </c>
      <c r="H14" s="147">
        <f>Tab01!H41</f>
        <v>404140.11055181123</v>
      </c>
    </row>
    <row r="15" spans="1:8" ht="12.75" customHeight="1">
      <c r="A15" s="133" t="s">
        <v>19</v>
      </c>
      <c r="B15" s="147">
        <f>Tab01!B52</f>
        <v>118699.06</v>
      </c>
      <c r="C15" s="147">
        <f>Tab01!C52</f>
        <v>92239.15</v>
      </c>
      <c r="D15" s="147">
        <f>Tab01!D52</f>
        <v>97898.38</v>
      </c>
      <c r="E15" s="147">
        <f>Tab01!E52</f>
        <v>112178.66984303</v>
      </c>
      <c r="F15" s="147">
        <f>Tab01!F52</f>
        <v>129166.44671070926</v>
      </c>
      <c r="G15" s="147">
        <f>Tab01!G52</f>
        <v>149357.74566052732</v>
      </c>
      <c r="H15" s="147">
        <f>Tab01!H52</f>
        <v>172937.0620687987</v>
      </c>
    </row>
    <row r="16" spans="1:8" ht="12.75" customHeight="1">
      <c r="A16" s="132" t="s">
        <v>127</v>
      </c>
      <c r="B16" s="147">
        <f>Tab01!B46</f>
        <v>48856.56</v>
      </c>
      <c r="C16" s="147">
        <f>Tab01!C46</f>
        <v>42292.25</v>
      </c>
      <c r="D16" s="147">
        <f>Tab01!D46</f>
        <v>43061.2</v>
      </c>
      <c r="E16" s="147">
        <f>Tab01!E46</f>
        <v>49342.47265219999</v>
      </c>
      <c r="F16" s="147">
        <f>Tab01!F46</f>
        <v>56814.6499982859</v>
      </c>
      <c r="G16" s="147">
        <f>Tab01!G46</f>
        <v>65695.91608601795</v>
      </c>
      <c r="H16" s="147">
        <f>Tab01!H46</f>
        <v>76067.42233280012</v>
      </c>
    </row>
    <row r="17" spans="1:8" ht="12.75" customHeight="1">
      <c r="A17" s="133" t="s">
        <v>15</v>
      </c>
      <c r="B17" s="147">
        <f>Tab01!B50</f>
        <v>4861641.52</v>
      </c>
      <c r="C17" s="147">
        <f>Tab01!C50</f>
        <v>5007870.07</v>
      </c>
      <c r="D17" s="147">
        <f>Tab01!D50</f>
        <v>4911127.31</v>
      </c>
      <c r="E17" s="147">
        <f>Tab01!E50</f>
        <v>5627506.084018734</v>
      </c>
      <c r="F17" s="147">
        <f>Tab01!F50</f>
        <v>6479707.467852112</v>
      </c>
      <c r="G17" s="147">
        <f>Tab01!G50</f>
        <v>7492615.339226753</v>
      </c>
      <c r="H17" s="147">
        <f>Tab01!H50</f>
        <v>8675485.012491956</v>
      </c>
    </row>
    <row r="18" spans="1:8" ht="12.75" customHeight="1">
      <c r="A18" s="133" t="s">
        <v>17</v>
      </c>
      <c r="B18" s="147">
        <f>Tab01!B51</f>
        <v>62269.43</v>
      </c>
      <c r="C18" s="147">
        <f>Tab01!C51</f>
        <v>71570.23</v>
      </c>
      <c r="D18" s="147">
        <f>Tab01!D51</f>
        <v>82814.09</v>
      </c>
      <c r="E18" s="147">
        <f>Tab01!E51</f>
        <v>94894.057087165</v>
      </c>
      <c r="F18" s="147">
        <f>Tab01!F51</f>
        <v>109264.33862215985</v>
      </c>
      <c r="G18" s="147">
        <f>Tab01!G51</f>
        <v>126344.54003557588</v>
      </c>
      <c r="H18" s="147">
        <f>Tab01!H51</f>
        <v>146290.7294533483</v>
      </c>
    </row>
    <row r="19" spans="1:8" ht="12.75" customHeight="1">
      <c r="A19" s="144" t="s">
        <v>165</v>
      </c>
      <c r="B19" s="111">
        <f>B6+B12</f>
        <v>11960121.419999998</v>
      </c>
      <c r="C19" s="111">
        <f aca="true" t="shared" si="2" ref="C19:H19">C6+C12</f>
        <v>12162196.58</v>
      </c>
      <c r="D19" s="111">
        <f t="shared" si="2"/>
        <v>12508767.680000002</v>
      </c>
      <c r="E19" s="111">
        <f t="shared" si="2"/>
        <v>14234470.425970823</v>
      </c>
      <c r="F19" s="111">
        <f t="shared" si="2"/>
        <v>16269167.255840242</v>
      </c>
      <c r="G19" s="111">
        <f t="shared" si="2"/>
        <v>18676975.42600842</v>
      </c>
      <c r="H19" s="111">
        <f t="shared" si="2"/>
        <v>21482767.79027874</v>
      </c>
    </row>
    <row r="20" spans="1:8" ht="12.75" customHeight="1">
      <c r="A20" s="119"/>
      <c r="B20" s="119"/>
      <c r="C20" s="119"/>
      <c r="D20" s="119"/>
      <c r="E20" s="150"/>
      <c r="F20" s="150"/>
      <c r="G20" s="119"/>
      <c r="H20" s="119"/>
    </row>
    <row r="21" spans="1:8" ht="12.75" customHeight="1">
      <c r="A21" s="121" t="s">
        <v>188</v>
      </c>
      <c r="B21" s="121"/>
      <c r="C21" s="121"/>
      <c r="D21" s="121"/>
      <c r="E21" s="151"/>
      <c r="F21" s="151"/>
      <c r="G21" s="151"/>
      <c r="H21" s="151"/>
    </row>
    <row r="22" spans="1:8" ht="12.75" customHeight="1">
      <c r="A22" s="152" t="s">
        <v>152</v>
      </c>
      <c r="B22" s="274">
        <v>1198300.94</v>
      </c>
      <c r="C22" s="87">
        <v>1199655.75</v>
      </c>
      <c r="D22" s="80">
        <v>1276535.76</v>
      </c>
      <c r="E22" s="112">
        <f>D22*(1+Parâmetros!C14)*(1+Parâmetros!C16)*(1+Parâmetros!C20)</f>
        <v>1418253.185775072</v>
      </c>
      <c r="F22" s="112">
        <f>E22*(1+Parâmetros!D14)*(1+Parâmetros!D16)*(1+Parâmetros!D20)</f>
        <v>1573317.8978417898</v>
      </c>
      <c r="G22" s="112">
        <f>F22*(1+Parâmetros!E14)*(1+Parâmetros!E16)*(1+Parâmetros!E20)</f>
        <v>1744834.7217929102</v>
      </c>
      <c r="H22" s="112">
        <f>G22*(1+Parâmetros!F14)*(1+Parâmetros!F16)*(1+Parâmetros!F20)</f>
        <v>1943295.7127190793</v>
      </c>
    </row>
    <row r="23" spans="1:8" ht="12.75" customHeight="1">
      <c r="A23" s="153" t="s">
        <v>174</v>
      </c>
      <c r="B23" s="275">
        <v>1077437.98</v>
      </c>
      <c r="C23" s="87">
        <v>1233983.93</v>
      </c>
      <c r="D23" s="80">
        <v>1155710.99</v>
      </c>
      <c r="E23" s="112">
        <f>D23*(1+Parâmetros!C14)*(1+Parâmetros!C17)</f>
        <v>1220546.376539</v>
      </c>
      <c r="F23" s="112">
        <f>E23*(1+Parâmetros!D14)*(1+Parâmetros!D17)</f>
        <v>1284625.0613072976</v>
      </c>
      <c r="G23" s="112">
        <f>F23*(1+Parâmetros!E14)*(1+Parâmetros!E17)</f>
        <v>1350397.8644462312</v>
      </c>
      <c r="H23" s="112">
        <f>G23*(1+Parâmetros!F14)*(1+Parâmetros!F17)</f>
        <v>1418863.036173655</v>
      </c>
    </row>
    <row r="24" spans="1:8" ht="12.75" customHeight="1">
      <c r="A24" s="154" t="s">
        <v>153</v>
      </c>
      <c r="B24" s="275">
        <v>16928.23</v>
      </c>
      <c r="C24" s="87">
        <v>327282.57</v>
      </c>
      <c r="D24" s="80">
        <v>20000</v>
      </c>
      <c r="E24" s="112">
        <f>D24*(1+Parâmetros!C14)*(1+Parâmetros!C21)</f>
        <v>21122</v>
      </c>
      <c r="F24" s="112">
        <f>E24*(1+Parâmetros!D14)*(1+Parâmetros!D21)</f>
        <v>22230.905</v>
      </c>
      <c r="G24" s="112">
        <f>F24*(1+Parâmetros!E14)*(1+Parâmetros!E21)</f>
        <v>23369.127335999998</v>
      </c>
      <c r="H24" s="112">
        <f>G24*(1+Parâmetros!F14)*(1+Parâmetros!F21)</f>
        <v>24553.942091935198</v>
      </c>
    </row>
    <row r="25" spans="1:8" ht="12.75" customHeight="1">
      <c r="A25" s="149" t="s">
        <v>20</v>
      </c>
      <c r="B25" s="111">
        <f aca="true" t="shared" si="3" ref="B25:H25">B22+B23+B24</f>
        <v>2292667.15</v>
      </c>
      <c r="C25" s="111">
        <f t="shared" si="3"/>
        <v>2760922.2499999995</v>
      </c>
      <c r="D25" s="111">
        <f t="shared" si="3"/>
        <v>2452246.75</v>
      </c>
      <c r="E25" s="111">
        <f t="shared" si="3"/>
        <v>2659921.562314072</v>
      </c>
      <c r="F25" s="111">
        <f t="shared" si="3"/>
        <v>2880173.864149087</v>
      </c>
      <c r="G25" s="111">
        <f t="shared" si="3"/>
        <v>3118601.7135751415</v>
      </c>
      <c r="H25" s="111">
        <f t="shared" si="3"/>
        <v>3386712.6909846696</v>
      </c>
    </row>
    <row r="26" spans="1:8" ht="12.75" customHeight="1">
      <c r="A26" s="119"/>
      <c r="B26" s="119"/>
      <c r="C26" s="119"/>
      <c r="D26" s="119"/>
      <c r="E26" s="119"/>
      <c r="F26" s="119"/>
      <c r="G26" s="119"/>
      <c r="H26" s="119"/>
    </row>
    <row r="27" spans="1:8" ht="12.75" customHeight="1">
      <c r="A27" s="149" t="s">
        <v>21</v>
      </c>
      <c r="B27" s="155">
        <f aca="true" t="shared" si="4" ref="B27:H27">IF(B19=0,0,+B25/B19)</f>
        <v>0.19169263166226286</v>
      </c>
      <c r="C27" s="155">
        <f t="shared" si="4"/>
        <v>0.22700852036384364</v>
      </c>
      <c r="D27" s="155">
        <f t="shared" si="4"/>
        <v>0.19604223315465713</v>
      </c>
      <c r="E27" s="155">
        <f t="shared" si="4"/>
        <v>0.18686480653758916</v>
      </c>
      <c r="F27" s="155">
        <f t="shared" si="4"/>
        <v>0.1770326543981637</v>
      </c>
      <c r="G27" s="155">
        <f t="shared" si="4"/>
        <v>0.16697573576246005</v>
      </c>
      <c r="H27" s="155">
        <f t="shared" si="4"/>
        <v>0.15764787498737504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3" r:id="rId1"/>
  <headerFooter alignWithMargins="0">
    <oddHeader>&amp;L&amp;D, &amp;T&amp;CPág.&amp;P/&amp;N&amp;R&amp;F 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V35"/>
  <sheetViews>
    <sheetView showGridLines="0" view="pageBreakPreview" zoomScaleNormal="90" zoomScaleSheetLayoutView="100" zoomScalePageLayoutView="0" workbookViewId="0" topLeftCell="A1">
      <pane ySplit="6" topLeftCell="A19" activePane="bottomLeft" state="frozen"/>
      <selection pane="topLeft" activeCell="A1" sqref="A1"/>
      <selection pane="bottomLeft" activeCell="C27" sqref="C27"/>
    </sheetView>
  </sheetViews>
  <sheetFormatPr defaultColWidth="9.140625" defaultRowHeight="24" customHeight="1"/>
  <cols>
    <col min="1" max="1" width="73.421875" style="52" customWidth="1"/>
    <col min="2" max="6" width="14.7109375" style="52" customWidth="1"/>
    <col min="7" max="9" width="22.7109375" style="52" customWidth="1"/>
    <col min="10" max="16384" width="9.140625" style="52" customWidth="1"/>
  </cols>
  <sheetData>
    <row r="1" spans="1:6" s="76" customFormat="1" ht="12.75" customHeight="1">
      <c r="A1" s="288" t="str">
        <f>+Tab01!A1</f>
        <v>MUNICÍPIO DE:</v>
      </c>
      <c r="B1" s="288"/>
      <c r="C1" s="288"/>
      <c r="D1" s="288"/>
      <c r="E1" s="288"/>
      <c r="F1" s="288"/>
    </row>
    <row r="2" spans="1:6" s="50" customFormat="1" ht="12.75" customHeight="1">
      <c r="A2" s="296" t="s">
        <v>251</v>
      </c>
      <c r="B2" s="297"/>
      <c r="C2" s="297"/>
      <c r="D2" s="297"/>
      <c r="E2" s="297"/>
      <c r="F2" s="297"/>
    </row>
    <row r="3" spans="1:6" s="50" customFormat="1" ht="12.75" customHeight="1">
      <c r="A3" s="298" t="s">
        <v>255</v>
      </c>
      <c r="B3" s="299"/>
      <c r="C3" s="299"/>
      <c r="D3" s="299"/>
      <c r="E3" s="299"/>
      <c r="F3" s="299"/>
    </row>
    <row r="4" spans="1:6" ht="12.75" customHeight="1">
      <c r="A4" s="119"/>
      <c r="B4" s="119"/>
      <c r="C4" s="119"/>
      <c r="D4" s="119"/>
      <c r="E4" s="119"/>
      <c r="F4" s="120" t="str">
        <f>+Tab03!H4</f>
        <v>R$ mil</v>
      </c>
    </row>
    <row r="5" spans="1:6" ht="12.75" customHeight="1">
      <c r="A5" s="293" t="s">
        <v>148</v>
      </c>
      <c r="B5" s="295" t="s">
        <v>163</v>
      </c>
      <c r="C5" s="295"/>
      <c r="D5" s="295"/>
      <c r="E5" s="295"/>
      <c r="F5" s="295"/>
    </row>
    <row r="6" spans="1:6" ht="12.75" customHeight="1" thickBot="1">
      <c r="A6" s="294"/>
      <c r="B6" s="156">
        <f>+C6-1</f>
        <v>2013</v>
      </c>
      <c r="C6" s="156">
        <f>+D6-1</f>
        <v>2014</v>
      </c>
      <c r="D6" s="156">
        <f>+E6-1</f>
        <v>2015</v>
      </c>
      <c r="E6" s="158">
        <f>+F6-1</f>
        <v>2016</v>
      </c>
      <c r="F6" s="158">
        <f>+Tab03!H5</f>
        <v>2017</v>
      </c>
    </row>
    <row r="7" spans="1:6" ht="12.75" customHeight="1" thickBot="1">
      <c r="A7" s="159" t="s">
        <v>8</v>
      </c>
      <c r="B7" s="160">
        <f>SUM(B8:B14)</f>
        <v>1012618.0499999999</v>
      </c>
      <c r="C7" s="160">
        <f>SUM(C8:C14)</f>
        <v>800095.04</v>
      </c>
      <c r="D7" s="160">
        <f>SUM(D8:D14)</f>
        <v>870329.78289632</v>
      </c>
      <c r="E7" s="160">
        <f>SUM(E8:E14)</f>
        <v>945334.803586325</v>
      </c>
      <c r="F7" s="161">
        <f>SUM(F8:F14)</f>
        <v>1029510.4395690227</v>
      </c>
    </row>
    <row r="8" spans="1:6" ht="12.75" customHeight="1">
      <c r="A8" s="133" t="s">
        <v>9</v>
      </c>
      <c r="B8" s="112">
        <f>+Tab01!C11</f>
        <v>44165.45</v>
      </c>
      <c r="C8" s="112">
        <f>+Tab01!D11</f>
        <v>65816.74</v>
      </c>
      <c r="D8" s="112">
        <f>+Tab01!E11</f>
        <v>71594.33088742</v>
      </c>
      <c r="E8" s="112">
        <f>+Tab01!F11</f>
        <v>77764.33032329785</v>
      </c>
      <c r="F8" s="112">
        <f>+Tab01!G11</f>
        <v>84688.71514114132</v>
      </c>
    </row>
    <row r="9" spans="1:6" ht="12.75" customHeight="1">
      <c r="A9" s="148" t="s">
        <v>106</v>
      </c>
      <c r="B9" s="112">
        <f>+Tab01!C12</f>
        <v>81704.67</v>
      </c>
      <c r="C9" s="112">
        <f>+Tab01!D12</f>
        <v>73747.73</v>
      </c>
      <c r="D9" s="112">
        <f>+Tab01!E12</f>
        <v>80221.52698259</v>
      </c>
      <c r="E9" s="112">
        <f>+Tab01!F12</f>
        <v>87135.01817794962</v>
      </c>
      <c r="F9" s="112">
        <f>+Tab01!G12</f>
        <v>94893.79902857241</v>
      </c>
    </row>
    <row r="10" spans="1:6" ht="12.75" customHeight="1">
      <c r="A10" s="133" t="s">
        <v>10</v>
      </c>
      <c r="B10" s="112">
        <f>+Tab01!C13</f>
        <v>696321.2</v>
      </c>
      <c r="C10" s="112">
        <f>+Tab01!D13</f>
        <v>503827</v>
      </c>
      <c r="D10" s="112">
        <f>+Tab01!E13</f>
        <v>548054.445541</v>
      </c>
      <c r="E10" s="112">
        <f>+Tab01!F13</f>
        <v>595285.7776577234</v>
      </c>
      <c r="F10" s="112">
        <f>+Tab01!G13</f>
        <v>648291.9282148556</v>
      </c>
    </row>
    <row r="11" spans="1:6" ht="12.75" customHeight="1">
      <c r="A11" s="133" t="s">
        <v>11</v>
      </c>
      <c r="B11" s="112">
        <f>+Tab01!C14</f>
        <v>124333.05</v>
      </c>
      <c r="C11" s="112">
        <f>+Tab01!D14</f>
        <v>131767.79</v>
      </c>
      <c r="D11" s="112">
        <f>+Tab01!E14</f>
        <v>143334.76190957002</v>
      </c>
      <c r="E11" s="112">
        <f>+Tab01!F14</f>
        <v>155687.35169093678</v>
      </c>
      <c r="F11" s="112">
        <f>+Tab01!G14</f>
        <v>169550.2516850232</v>
      </c>
    </row>
    <row r="12" spans="1:6" ht="12.75" customHeight="1">
      <c r="A12" s="133" t="s">
        <v>24</v>
      </c>
      <c r="B12" s="112">
        <f>+Tab01!C15</f>
        <v>45039.09</v>
      </c>
      <c r="C12" s="112">
        <f>+Tab01!D15</f>
        <v>24935.78</v>
      </c>
      <c r="D12" s="112">
        <f>+Tab01!E15</f>
        <v>27124.71757574</v>
      </c>
      <c r="E12" s="112">
        <f>+Tab01!F15</f>
        <v>29462.32573641727</v>
      </c>
      <c r="F12" s="112">
        <f>+Tab01!G15</f>
        <v>32085.74549943022</v>
      </c>
    </row>
    <row r="13" spans="1:6" ht="12.75" customHeight="1">
      <c r="A13" s="133" t="s">
        <v>121</v>
      </c>
      <c r="B13" s="112">
        <f>Tab01!C16</f>
        <v>0</v>
      </c>
      <c r="C13" s="112">
        <f>Tab01!D16</f>
        <v>0</v>
      </c>
      <c r="D13" s="112">
        <f>Tab01!E16</f>
        <v>0</v>
      </c>
      <c r="E13" s="112">
        <f>Tab01!F16</f>
        <v>0</v>
      </c>
      <c r="F13" s="112">
        <f>Tab01!G16</f>
        <v>0</v>
      </c>
    </row>
    <row r="14" spans="1:256" ht="12.75" customHeight="1" thickBot="1">
      <c r="A14" s="191" t="s">
        <v>189</v>
      </c>
      <c r="B14" s="253">
        <f>Tab01!C20</f>
        <v>21054.59</v>
      </c>
      <c r="C14" s="253">
        <f>Tab01!D20</f>
        <v>0</v>
      </c>
      <c r="D14" s="253">
        <f>Tab01!E20</f>
        <v>0</v>
      </c>
      <c r="E14" s="253">
        <f>Tab01!F20</f>
        <v>0</v>
      </c>
      <c r="F14" s="253">
        <f>Tab01!G20</f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6" ht="12.75" customHeight="1" thickBot="1">
      <c r="A15" s="162" t="s">
        <v>13</v>
      </c>
      <c r="B15" s="160">
        <f>SUM(B16:B21)</f>
        <v>11215672.21</v>
      </c>
      <c r="C15" s="160">
        <f>SUM(C16:C21)</f>
        <v>10805546.870000001</v>
      </c>
      <c r="D15" s="160">
        <f>SUM(D16:D21)</f>
        <v>12381735.783606593</v>
      </c>
      <c r="E15" s="160">
        <f>SUM(E16:E21)</f>
        <v>14256763.941997062</v>
      </c>
      <c r="F15" s="161">
        <f>SUM(F16:F21)</f>
        <v>16485381.281410038</v>
      </c>
    </row>
    <row r="16" spans="1:6" ht="12.75" customHeight="1">
      <c r="A16" s="133" t="s">
        <v>18</v>
      </c>
      <c r="B16" s="112">
        <f>+Tab01!C40</f>
        <v>5464630.84</v>
      </c>
      <c r="C16" s="112">
        <f>+Tab01!D40</f>
        <v>5441865.19</v>
      </c>
      <c r="D16" s="112">
        <f>+Tab01!E40</f>
        <v>6235661.902467515</v>
      </c>
      <c r="E16" s="112">
        <f>+Tab01!F40</f>
        <v>7179959.362667684</v>
      </c>
      <c r="F16" s="112">
        <f>+Tab01!G40</f>
        <v>8302330.610239897</v>
      </c>
    </row>
    <row r="17" spans="1:6" ht="12.75" customHeight="1">
      <c r="A17" s="133" t="s">
        <v>14</v>
      </c>
      <c r="B17" s="112">
        <f>+Tab01!C41</f>
        <v>537069.67</v>
      </c>
      <c r="C17" s="112">
        <f>+Tab01!D41</f>
        <v>228780.7</v>
      </c>
      <c r="D17" s="112">
        <f>+Tab01!E41</f>
        <v>262152.59753795003</v>
      </c>
      <c r="E17" s="112">
        <f>+Tab01!F41</f>
        <v>301851.67614610953</v>
      </c>
      <c r="F17" s="112">
        <f>+Tab01!G41</f>
        <v>349037.1301612694</v>
      </c>
    </row>
    <row r="18" spans="1:6" ht="12.75" customHeight="1">
      <c r="A18" s="133" t="s">
        <v>19</v>
      </c>
      <c r="B18" s="112">
        <f>+Tab01!C52</f>
        <v>92239.15</v>
      </c>
      <c r="C18" s="112">
        <f>+Tab01!D52</f>
        <v>97898.38</v>
      </c>
      <c r="D18" s="112">
        <f>+Tab01!E52</f>
        <v>112178.66984303</v>
      </c>
      <c r="E18" s="112">
        <f>+Tab01!F52</f>
        <v>129166.44671070926</v>
      </c>
      <c r="F18" s="112">
        <f>+Tab01!G52</f>
        <v>149357.74566052732</v>
      </c>
    </row>
    <row r="19" spans="1:6" ht="12.75" customHeight="1">
      <c r="A19" s="132" t="s">
        <v>127</v>
      </c>
      <c r="B19" s="112">
        <f>Tab01!C46</f>
        <v>42292.25</v>
      </c>
      <c r="C19" s="112">
        <f>Tab01!D46</f>
        <v>43061.2</v>
      </c>
      <c r="D19" s="112">
        <f>Tab01!E46</f>
        <v>49342.47265219999</v>
      </c>
      <c r="E19" s="112">
        <f>Tab01!F46</f>
        <v>56814.6499982859</v>
      </c>
      <c r="F19" s="112">
        <f>Tab01!G46</f>
        <v>65695.91608601795</v>
      </c>
    </row>
    <row r="20" spans="1:6" ht="12.75" customHeight="1">
      <c r="A20" s="133" t="s">
        <v>15</v>
      </c>
      <c r="B20" s="112">
        <f>+Tab01!C50</f>
        <v>5007870.07</v>
      </c>
      <c r="C20" s="112">
        <f>+Tab01!D50</f>
        <v>4911127.31</v>
      </c>
      <c r="D20" s="112">
        <f>+Tab01!E50</f>
        <v>5627506.084018734</v>
      </c>
      <c r="E20" s="112">
        <f>+Tab01!F50</f>
        <v>6479707.467852112</v>
      </c>
      <c r="F20" s="112">
        <f>+Tab01!G50</f>
        <v>7492615.339226753</v>
      </c>
    </row>
    <row r="21" spans="1:6" ht="12.75" customHeight="1" thickBot="1">
      <c r="A21" s="133" t="s">
        <v>17</v>
      </c>
      <c r="B21" s="112">
        <f>+Tab01!C51</f>
        <v>71570.23</v>
      </c>
      <c r="C21" s="112">
        <f>+Tab01!D51</f>
        <v>82814.09</v>
      </c>
      <c r="D21" s="112">
        <f>+Tab01!E51</f>
        <v>94894.057087165</v>
      </c>
      <c r="E21" s="112">
        <f>+Tab01!F51</f>
        <v>109264.33862215985</v>
      </c>
      <c r="F21" s="112">
        <f>+Tab01!G51</f>
        <v>126344.54003557588</v>
      </c>
    </row>
    <row r="22" spans="1:6" ht="12.75" customHeight="1" thickBot="1">
      <c r="A22" s="163" t="s">
        <v>190</v>
      </c>
      <c r="B22" s="164">
        <f>B23+B24</f>
        <v>0</v>
      </c>
      <c r="C22" s="164">
        <f>C23+C24</f>
        <v>928061.5499999999</v>
      </c>
      <c r="D22" s="164">
        <f>D23+D24</f>
        <v>1009529.57704365</v>
      </c>
      <c r="E22" s="164">
        <f>E23+E24</f>
        <v>1096530.8359932718</v>
      </c>
      <c r="F22" s="165">
        <f>F23+F24</f>
        <v>1194169.450528788</v>
      </c>
    </row>
    <row r="23" spans="1:6" ht="12.75" customHeight="1">
      <c r="A23" s="133" t="s">
        <v>191</v>
      </c>
      <c r="B23" s="112">
        <f>Tab01!C71</f>
        <v>0</v>
      </c>
      <c r="C23" s="112">
        <f>Tab01!D71</f>
        <v>11493.46</v>
      </c>
      <c r="D23" s="112">
        <f>Tab01!E71</f>
        <v>12502.39039918</v>
      </c>
      <c r="E23" s="112">
        <f>Tab01!F71</f>
        <v>13579.846403781334</v>
      </c>
      <c r="F23" s="112">
        <f>Tab01!G71</f>
        <v>14789.039383082514</v>
      </c>
    </row>
    <row r="24" spans="1:6" ht="12.75" customHeight="1" thickBot="1">
      <c r="A24" s="133" t="s">
        <v>192</v>
      </c>
      <c r="B24" s="112">
        <f>Tab01!C73</f>
        <v>0</v>
      </c>
      <c r="C24" s="112">
        <f>Tab01!D73</f>
        <v>916568.09</v>
      </c>
      <c r="D24" s="112">
        <f>Tab01!E73</f>
        <v>997027.18664447</v>
      </c>
      <c r="E24" s="112">
        <f>Tab01!F73</f>
        <v>1082950.9895894905</v>
      </c>
      <c r="F24" s="112">
        <f>Tab01!G73</f>
        <v>1179380.4111457055</v>
      </c>
    </row>
    <row r="25" spans="1:6" ht="12.75" customHeight="1" thickBot="1">
      <c r="A25" s="159" t="s">
        <v>193</v>
      </c>
      <c r="B25" s="160">
        <f>B7+B15+B22</f>
        <v>12228290.260000002</v>
      </c>
      <c r="C25" s="160">
        <f>C7+C15+C22</f>
        <v>12533703.46</v>
      </c>
      <c r="D25" s="160">
        <f>D7+D15+D22</f>
        <v>14261595.143546563</v>
      </c>
      <c r="E25" s="160">
        <f>E7+E15+E22</f>
        <v>16298629.581576658</v>
      </c>
      <c r="F25" s="160">
        <f>F7+F15+F22</f>
        <v>18709061.17150785</v>
      </c>
    </row>
    <row r="26" spans="1:6" ht="12.75" customHeight="1">
      <c r="A26" s="166" t="s">
        <v>78</v>
      </c>
      <c r="B26" s="167"/>
      <c r="C26" s="168"/>
      <c r="D26" s="112"/>
      <c r="E26" s="112"/>
      <c r="F26" s="112"/>
    </row>
    <row r="27" spans="1:6" ht="12.75" customHeight="1">
      <c r="A27" s="169" t="s">
        <v>164</v>
      </c>
      <c r="B27" s="88">
        <v>0.06</v>
      </c>
      <c r="C27" s="168"/>
      <c r="D27" s="112"/>
      <c r="E27" s="112"/>
      <c r="F27" s="112"/>
    </row>
    <row r="28" spans="1:6" ht="12.75" customHeight="1">
      <c r="A28" s="170" t="s">
        <v>166</v>
      </c>
      <c r="B28" s="171"/>
      <c r="C28" s="171"/>
      <c r="D28" s="171"/>
      <c r="E28" s="171"/>
      <c r="F28" s="171"/>
    </row>
    <row r="29" spans="1:6" ht="12.75" customHeight="1">
      <c r="A29" s="172" t="str">
        <f>CONCATENATE("Legislativo Total (E) ",TEXT(B27,"0,0%")," de (D)")</f>
        <v>Legislativo Total (E) 6,0% de (D)</v>
      </c>
      <c r="B29" s="173">
        <f>+B25*$B$27</f>
        <v>733697.4156000001</v>
      </c>
      <c r="C29" s="173">
        <f>+C25*$B$27</f>
        <v>752022.2076000001</v>
      </c>
      <c r="D29" s="173">
        <f>+D25*$B$27</f>
        <v>855695.7086127937</v>
      </c>
      <c r="E29" s="173">
        <f>+E25*$B$27</f>
        <v>977917.7748945995</v>
      </c>
      <c r="F29" s="173">
        <f>+F25*$B$27</f>
        <v>1122543.670290471</v>
      </c>
    </row>
    <row r="30" spans="1:6" ht="12.75" customHeight="1">
      <c r="A30" s="174" t="s">
        <v>149</v>
      </c>
      <c r="B30" s="175">
        <f>+B29*70%</f>
        <v>513588.19092</v>
      </c>
      <c r="C30" s="175">
        <f>+C29*70%</f>
        <v>526415.54532</v>
      </c>
      <c r="D30" s="175">
        <f>+D29*70%</f>
        <v>598986.9960289556</v>
      </c>
      <c r="E30" s="175">
        <f>+E29*70%</f>
        <v>684542.4424262196</v>
      </c>
      <c r="F30" s="175">
        <f>+F29*70%</f>
        <v>785780.5692033297</v>
      </c>
    </row>
    <row r="31" spans="1:6" ht="12.75" customHeight="1">
      <c r="A31" s="119"/>
      <c r="B31" s="173"/>
      <c r="C31" s="168"/>
      <c r="D31" s="112"/>
      <c r="E31" s="112"/>
      <c r="F31" s="112"/>
    </row>
    <row r="32" spans="1:6" ht="12.75" customHeight="1">
      <c r="A32" s="170" t="s">
        <v>29</v>
      </c>
      <c r="B32" s="171"/>
      <c r="C32" s="171"/>
      <c r="D32" s="171"/>
      <c r="E32" s="171"/>
      <c r="F32" s="171"/>
    </row>
    <row r="33" spans="1:6" ht="12.75" customHeight="1">
      <c r="A33" s="172" t="s">
        <v>30</v>
      </c>
      <c r="B33" s="99">
        <v>893000</v>
      </c>
      <c r="C33" s="173">
        <f>B33*(1+Parâmetros!C14)*(1+Parâmetros!C15)</f>
        <v>977237.42226</v>
      </c>
      <c r="D33" s="173">
        <f>C33*(1+Parâmetros!D14)*(1+Parâmetros!D15)</f>
        <v>1067009.8721997815</v>
      </c>
      <c r="E33" s="173">
        <f>D33*(1+Parâmetros!E14)*(1+Parâmetros!E15)</f>
        <v>1163926.6349740569</v>
      </c>
      <c r="F33" s="173">
        <f>E33*(1+Parâmetros!F14)*(1+Parâmetros!F15)</f>
        <v>1272344.399068078</v>
      </c>
    </row>
    <row r="34" spans="1:6" ht="12.75" customHeight="1">
      <c r="A34" s="174" t="s">
        <v>150</v>
      </c>
      <c r="B34" s="100">
        <v>628100</v>
      </c>
      <c r="C34" s="173">
        <f>B34*(1+Parâmetros!C14)</f>
        <v>663336.41</v>
      </c>
      <c r="D34" s="173">
        <f>C34*(1+Parâmetros!D14)</f>
        <v>698161.571525</v>
      </c>
      <c r="E34" s="173">
        <f>D34*(1+Parâmetros!E14)</f>
        <v>733907.44398708</v>
      </c>
      <c r="F34" s="173">
        <f>E34*(1+Parâmetros!F14)</f>
        <v>771116.5513972249</v>
      </c>
    </row>
    <row r="35" spans="1:6" ht="12.75" customHeight="1">
      <c r="A35" s="97" t="s">
        <v>247</v>
      </c>
      <c r="B35" s="97"/>
      <c r="C35" s="97"/>
      <c r="D35" s="97"/>
      <c r="E35" s="97"/>
      <c r="F35" s="9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5">
    <mergeCell ref="A5:A6"/>
    <mergeCell ref="B5:F5"/>
    <mergeCell ref="A1:F1"/>
    <mergeCell ref="A2:F2"/>
    <mergeCell ref="A3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6" r:id="rId1"/>
  <headerFooter alignWithMargins="0">
    <oddHeader>&amp;L&amp;D, &amp;T&amp;CPág.&amp;P/&amp;N&amp;R&amp;F 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28"/>
  <sheetViews>
    <sheetView showGridLines="0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33" sqref="B33"/>
    </sheetView>
  </sheetViews>
  <sheetFormatPr defaultColWidth="11.28125" defaultRowHeight="24" customHeight="1"/>
  <cols>
    <col min="1" max="1" width="65.421875" style="75" customWidth="1"/>
    <col min="2" max="2" width="17.00390625" style="75" customWidth="1"/>
    <col min="3" max="3" width="15.7109375" style="62" customWidth="1"/>
    <col min="4" max="4" width="16.7109375" style="62" customWidth="1"/>
    <col min="5" max="5" width="16.57421875" style="62" customWidth="1"/>
    <col min="6" max="6" width="15.7109375" style="62" customWidth="1"/>
    <col min="7" max="7" width="17.00390625" style="62" customWidth="1"/>
    <col min="8" max="8" width="16.57421875" style="62" customWidth="1"/>
    <col min="9" max="10" width="11.7109375" style="52" customWidth="1"/>
    <col min="11" max="16384" width="11.28125" style="52" customWidth="1"/>
  </cols>
  <sheetData>
    <row r="1" spans="1:8" s="76" customFormat="1" ht="12.75">
      <c r="A1" s="300" t="str">
        <f>+Tab01!A1</f>
        <v>MUNICÍPIO DE:</v>
      </c>
      <c r="B1" s="297"/>
      <c r="C1" s="297"/>
      <c r="D1" s="297"/>
      <c r="E1" s="297"/>
      <c r="F1" s="297"/>
      <c r="G1" s="297"/>
      <c r="H1" s="297"/>
    </row>
    <row r="2" spans="1:8" s="50" customFormat="1" ht="12.75">
      <c r="A2" s="310" t="s">
        <v>251</v>
      </c>
      <c r="B2" s="310"/>
      <c r="C2" s="310"/>
      <c r="D2" s="310"/>
      <c r="E2" s="310"/>
      <c r="F2" s="310"/>
      <c r="G2" s="310"/>
      <c r="H2" s="310"/>
    </row>
    <row r="3" spans="1:8" ht="15" customHeight="1">
      <c r="A3" s="301" t="s">
        <v>256</v>
      </c>
      <c r="B3" s="302"/>
      <c r="C3" s="302"/>
      <c r="D3" s="302"/>
      <c r="E3" s="302"/>
      <c r="F3" s="302"/>
      <c r="G3" s="302"/>
      <c r="H3" s="302"/>
    </row>
    <row r="4" spans="1:8" ht="15" customHeight="1">
      <c r="A4" s="273"/>
      <c r="B4" s="272"/>
      <c r="C4" s="272"/>
      <c r="D4" s="272"/>
      <c r="E4" s="272"/>
      <c r="F4" s="272"/>
      <c r="G4" s="272"/>
      <c r="H4" s="272" t="str">
        <f>Tab04!F4</f>
        <v>R$ mil</v>
      </c>
    </row>
    <row r="5" spans="1:8" s="50" customFormat="1" ht="12.75">
      <c r="A5" s="303" t="s">
        <v>242</v>
      </c>
      <c r="B5" s="264"/>
      <c r="C5" s="306" t="s">
        <v>32</v>
      </c>
      <c r="D5" s="306"/>
      <c r="E5" s="306"/>
      <c r="F5" s="306"/>
      <c r="G5" s="306"/>
      <c r="H5" s="307"/>
    </row>
    <row r="6" spans="1:9" s="50" customFormat="1" ht="12.75">
      <c r="A6" s="304"/>
      <c r="B6" s="260">
        <v>2011</v>
      </c>
      <c r="C6" s="176">
        <f>+D6-1</f>
        <v>2012</v>
      </c>
      <c r="D6" s="177">
        <f>+E6-1</f>
        <v>2013</v>
      </c>
      <c r="E6" s="176">
        <f>+F6-1</f>
        <v>2014</v>
      </c>
      <c r="F6" s="176">
        <f>+G6-1</f>
        <v>2015</v>
      </c>
      <c r="G6" s="176">
        <f>+H6-1</f>
        <v>2016</v>
      </c>
      <c r="H6" s="177">
        <f>+'Tab01-A'!H5</f>
        <v>2017</v>
      </c>
      <c r="I6" s="73"/>
    </row>
    <row r="7" spans="1:9" ht="21.75" customHeight="1">
      <c r="A7" s="178" t="s">
        <v>167</v>
      </c>
      <c r="B7" s="276">
        <v>6419622.65</v>
      </c>
      <c r="C7" s="262">
        <v>6940516.13</v>
      </c>
      <c r="D7" s="263">
        <v>7088688.67</v>
      </c>
      <c r="E7" s="179">
        <f>D7*(1+Parâmetros!C14)*(1+Parâmetros!C16)*(1+Parâmetros!C20)</f>
        <v>7875655.037815125</v>
      </c>
      <c r="F7" s="179">
        <f>E7*(1+Parâmetros!D14)*(1+Parâmetros!D16)*(1+Parâmetros!D20)</f>
        <v>8736739.781374643</v>
      </c>
      <c r="G7" s="179">
        <f>F7*(1+Parâmetros!E14)*(1+Parâmetros!E16)*(1+Parâmetros!E20)</f>
        <v>9689184.20538098</v>
      </c>
      <c r="H7" s="265">
        <f>G7*(1+Parâmetros!F14)*(1+Parâmetros!F16)*(1+Parâmetros!F20)</f>
        <v>10791251.395269424</v>
      </c>
      <c r="I7" s="74"/>
    </row>
    <row r="8" spans="1:9" ht="21.75" customHeight="1">
      <c r="A8" s="178" t="s">
        <v>33</v>
      </c>
      <c r="B8" s="261"/>
      <c r="C8" s="262"/>
      <c r="D8" s="263"/>
      <c r="E8" s="179">
        <f>D8*(1+Parâmetros!C14)*(1+Parâmetros!C16)*(1+Parâmetros!C20)</f>
        <v>0</v>
      </c>
      <c r="F8" s="179">
        <f>E8*(1+Parâmetros!D14)*(1+Parâmetros!D16)*(1+Parâmetros!D20)</f>
        <v>0</v>
      </c>
      <c r="G8" s="179">
        <f>F8*(1+Parâmetros!E14)*(1+Parâmetros!E16)*(1+Parâmetros!E20)</f>
        <v>0</v>
      </c>
      <c r="H8" s="265">
        <f>G8*(1+Parâmetros!F14)*(1+Parâmetros!F16)*(1+Parâmetros!F20)</f>
        <v>0</v>
      </c>
      <c r="I8" s="74"/>
    </row>
    <row r="9" spans="1:9" ht="21.75" customHeight="1">
      <c r="A9" s="180" t="s">
        <v>151</v>
      </c>
      <c r="B9" s="261"/>
      <c r="C9" s="262"/>
      <c r="D9" s="263"/>
      <c r="E9" s="179">
        <f>D9*(1+Parâmetros!C14)*(1+Parâmetros!C16)*(1+Parâmetros!C20)</f>
        <v>0</v>
      </c>
      <c r="F9" s="179">
        <f>E9*(1+Parâmetros!D14)*(1+Parâmetros!D16)*(1+Parâmetros!D20)</f>
        <v>0</v>
      </c>
      <c r="G9" s="179">
        <f>F9*(1+Parâmetros!E14)*(1+Parâmetros!E16)*(1+Parâmetros!E20)</f>
        <v>0</v>
      </c>
      <c r="H9" s="265">
        <f>G9*(1+Parâmetros!F14)*(1+Parâmetros!F16)*(1+Parâmetros!F20)</f>
        <v>0</v>
      </c>
      <c r="I9" s="74"/>
    </row>
    <row r="10" spans="1:9" ht="21.75" customHeight="1">
      <c r="A10" s="178" t="s">
        <v>194</v>
      </c>
      <c r="B10" s="261"/>
      <c r="C10" s="262"/>
      <c r="D10" s="263"/>
      <c r="E10" s="179">
        <f>D10*(1+Parâmetros!C14)</f>
        <v>0</v>
      </c>
      <c r="F10" s="179">
        <f>E10*(1+Parâmetros!D14)</f>
        <v>0</v>
      </c>
      <c r="G10" s="179">
        <f>F10*(1+Parâmetros!E14)</f>
        <v>0</v>
      </c>
      <c r="H10" s="265">
        <f>G10*(1+Parâmetros!F14)</f>
        <v>0</v>
      </c>
      <c r="I10" s="74"/>
    </row>
    <row r="11" spans="1:9" ht="21.75" customHeight="1">
      <c r="A11" s="178" t="s">
        <v>248</v>
      </c>
      <c r="B11" s="271"/>
      <c r="C11" s="271"/>
      <c r="D11" s="271">
        <v>0</v>
      </c>
      <c r="E11" s="179">
        <f>D11*(1+Parâmetros!C14)*(1+Parâmetros!C18)</f>
        <v>0</v>
      </c>
      <c r="F11" s="179">
        <f>E11*(1+Parâmetros!D14)*(1+Parâmetros!D18)</f>
        <v>0</v>
      </c>
      <c r="G11" s="179">
        <f>F11*(1+Parâmetros!E14)*(1+Parâmetros!E18)</f>
        <v>0</v>
      </c>
      <c r="H11" s="179">
        <f>G11*(1+Parâmetros!F14)*(1+Parâmetros!F18)</f>
        <v>0</v>
      </c>
      <c r="I11" s="74"/>
    </row>
    <row r="12" spans="1:9" ht="21.75" customHeight="1">
      <c r="A12" s="181" t="s">
        <v>195</v>
      </c>
      <c r="B12" s="182">
        <f aca="true" t="shared" si="0" ref="B12:H12">+B7+B8-B9-B10-B11</f>
        <v>6419622.65</v>
      </c>
      <c r="C12" s="182">
        <f t="shared" si="0"/>
        <v>6940516.13</v>
      </c>
      <c r="D12" s="182">
        <f t="shared" si="0"/>
        <v>7088688.67</v>
      </c>
      <c r="E12" s="182">
        <f t="shared" si="0"/>
        <v>7875655.037815125</v>
      </c>
      <c r="F12" s="182">
        <f t="shared" si="0"/>
        <v>8736739.781374643</v>
      </c>
      <c r="G12" s="182">
        <f t="shared" si="0"/>
        <v>9689184.20538098</v>
      </c>
      <c r="H12" s="266">
        <f t="shared" si="0"/>
        <v>10791251.395269424</v>
      </c>
      <c r="I12" s="74"/>
    </row>
    <row r="13" spans="1:9" ht="21.75" customHeight="1">
      <c r="A13" s="183" t="s">
        <v>154</v>
      </c>
      <c r="B13" s="184">
        <f>+'Tab01-A'!B25</f>
        <v>13126152.91</v>
      </c>
      <c r="C13" s="184">
        <f>+'Tab01-A'!C25</f>
        <v>14234151.760000002</v>
      </c>
      <c r="D13" s="184">
        <f>+'Tab01-A'!D25</f>
        <v>13930755.14</v>
      </c>
      <c r="E13" s="184">
        <f>+'Tab01-A'!E25</f>
        <v>14762732.270657485</v>
      </c>
      <c r="F13" s="184">
        <f>+'Tab01-A'!F25</f>
        <v>17006873.811873212</v>
      </c>
      <c r="G13" s="184">
        <f>+'Tab01-A'!G25</f>
        <v>19660860.7155525</v>
      </c>
      <c r="H13" s="267">
        <f>+'Tab01-A'!H25</f>
        <v>22752016.106958363</v>
      </c>
      <c r="I13" s="74"/>
    </row>
    <row r="14" spans="1:9" ht="21.75" customHeight="1">
      <c r="A14" s="183" t="s">
        <v>155</v>
      </c>
      <c r="B14" s="185">
        <f aca="true" t="shared" si="1" ref="B14:H14">IF(B13&lt;&gt;0,B12/B13,0)</f>
        <v>0.4890711462845514</v>
      </c>
      <c r="C14" s="185">
        <f t="shared" si="1"/>
        <v>0.48759604695966785</v>
      </c>
      <c r="D14" s="185">
        <f t="shared" si="1"/>
        <v>0.508851716849572</v>
      </c>
      <c r="E14" s="185">
        <f t="shared" si="1"/>
        <v>0.5334822100288871</v>
      </c>
      <c r="F14" s="185">
        <f t="shared" si="1"/>
        <v>0.5137181517319872</v>
      </c>
      <c r="G14" s="185">
        <f t="shared" si="1"/>
        <v>0.49281587136805566</v>
      </c>
      <c r="H14" s="268">
        <f t="shared" si="1"/>
        <v>0.4742986882805995</v>
      </c>
      <c r="I14" s="74"/>
    </row>
    <row r="15" spans="1:9" ht="12.75" customHeight="1">
      <c r="A15" s="308"/>
      <c r="B15" s="308"/>
      <c r="C15" s="308"/>
      <c r="D15" s="308"/>
      <c r="E15" s="308"/>
      <c r="F15" s="308"/>
      <c r="G15" s="308"/>
      <c r="H15" s="308"/>
      <c r="I15" s="74"/>
    </row>
    <row r="16" spans="1:8" ht="12.75" customHeight="1">
      <c r="A16" s="254"/>
      <c r="B16" s="254"/>
      <c r="C16" s="250"/>
      <c r="D16" s="250"/>
      <c r="E16" s="250"/>
      <c r="F16" s="250"/>
      <c r="G16" s="250"/>
      <c r="H16" s="250"/>
    </row>
    <row r="17" spans="1:8" ht="12.75" customHeight="1">
      <c r="A17" s="254"/>
      <c r="B17" s="254"/>
      <c r="C17" s="250"/>
      <c r="D17" s="250"/>
      <c r="E17" s="250"/>
      <c r="F17" s="250"/>
      <c r="G17" s="250"/>
      <c r="H17" s="250"/>
    </row>
    <row r="18" spans="1:8" ht="12.75" customHeight="1">
      <c r="A18" s="303" t="s">
        <v>238</v>
      </c>
      <c r="B18" s="256"/>
      <c r="C18" s="305" t="s">
        <v>32</v>
      </c>
      <c r="D18" s="306"/>
      <c r="E18" s="306"/>
      <c r="F18" s="306"/>
      <c r="G18" s="306"/>
      <c r="H18" s="307"/>
    </row>
    <row r="19" spans="1:8" ht="12.75" customHeight="1">
      <c r="A19" s="304"/>
      <c r="B19" s="257">
        <v>2011</v>
      </c>
      <c r="C19" s="176">
        <f>+D19-1</f>
        <v>2012</v>
      </c>
      <c r="D19" s="177">
        <f>+E19-1</f>
        <v>2013</v>
      </c>
      <c r="E19" s="176">
        <f>+F19-1</f>
        <v>2014</v>
      </c>
      <c r="F19" s="176">
        <f>+G19-1</f>
        <v>2015</v>
      </c>
      <c r="G19" s="176">
        <f>+H19-1</f>
        <v>2016</v>
      </c>
      <c r="H19" s="177">
        <f>+'Tab01-A'!H5</f>
        <v>2017</v>
      </c>
    </row>
    <row r="20" spans="1:8" ht="12.75" customHeight="1">
      <c r="A20" s="178" t="s">
        <v>167</v>
      </c>
      <c r="B20" s="277">
        <v>487890.85</v>
      </c>
      <c r="C20" s="89">
        <v>566833.95</v>
      </c>
      <c r="D20" s="89">
        <v>625100</v>
      </c>
      <c r="E20" s="179">
        <f>D20*(1+Parâmetros!C14*(1+Parâmetros!C16)*(1+Parâmetros!C20))</f>
        <v>661991.65172</v>
      </c>
      <c r="F20" s="179">
        <f>E20*(1+Parâmetros!D14)*(1+Parâmetros!D16)*(1+Parâmetros!D20)</f>
        <v>734370.5089608062</v>
      </c>
      <c r="G20" s="179">
        <f>F20*(1+Parâmetros!E14)*(1+Parâmetros!E16)*(1+Parâmetros!E20)</f>
        <v>814428.6443656774</v>
      </c>
      <c r="H20" s="265">
        <f>G20*(1+Parâmetros!F27)*(1+Parâmetros!F29)*(1+Parâmetros!F33)</f>
        <v>814428.6443656774</v>
      </c>
    </row>
    <row r="21" spans="1:8" ht="12.75" customHeight="1">
      <c r="A21" s="178" t="s">
        <v>33</v>
      </c>
      <c r="B21" s="269"/>
      <c r="C21" s="89"/>
      <c r="D21" s="89"/>
      <c r="E21" s="179">
        <f>D21*(1+Parâmetros!C14)*(1+Parâmetros!C16)*(1+Parâmetros!C20)</f>
        <v>0</v>
      </c>
      <c r="F21" s="179">
        <f>E21*(1+Parâmetros!D14)*(1+Parâmetros!D16)*(1+Parâmetros!D20)</f>
        <v>0</v>
      </c>
      <c r="G21" s="179">
        <f>F21*(1+Parâmetros!E14)*(1+Parâmetros!E16)*(1+Parâmetros!E20)</f>
        <v>0</v>
      </c>
      <c r="H21" s="265">
        <f>G21*(1+Parâmetros!F14)*(1+Parâmetros!F16)*(1+Parâmetros!F20)</f>
        <v>0</v>
      </c>
    </row>
    <row r="22" spans="1:8" ht="12.75" customHeight="1">
      <c r="A22" s="180" t="s">
        <v>151</v>
      </c>
      <c r="B22" s="270"/>
      <c r="C22" s="89"/>
      <c r="D22" s="89"/>
      <c r="E22" s="179">
        <f>D22*(1+Parâmetros!C14)*(1+Parâmetros!C16)*(1+Parâmetros!C20)</f>
        <v>0</v>
      </c>
      <c r="F22" s="179">
        <f>E22*(1+Parâmetros!D14)*(1+Parâmetros!D16)*(1+Parâmetros!D20)</f>
        <v>0</v>
      </c>
      <c r="G22" s="179">
        <f>F22*(1+Parâmetros!E14)*(1+Parâmetros!E16)*(1+Parâmetros!E20)</f>
        <v>0</v>
      </c>
      <c r="H22" s="265">
        <f>G22*(1+Parâmetros!F14)*(1+Parâmetros!F16)*(1+Parâmetros!F20)</f>
        <v>0</v>
      </c>
    </row>
    <row r="23" spans="1:8" ht="12.75" customHeight="1">
      <c r="A23" s="178" t="s">
        <v>194</v>
      </c>
      <c r="B23" s="269"/>
      <c r="C23" s="89"/>
      <c r="D23" s="89"/>
      <c r="E23" s="179">
        <f>D23*(1+Parâmetros!C14)</f>
        <v>0</v>
      </c>
      <c r="F23" s="179">
        <f>E23*(1+Parâmetros!D14)</f>
        <v>0</v>
      </c>
      <c r="G23" s="179">
        <f>F23*(1+Parâmetros!E14)</f>
        <v>0</v>
      </c>
      <c r="H23" s="265">
        <f>G23*(1+Parâmetros!F14)</f>
        <v>0</v>
      </c>
    </row>
    <row r="24" spans="1:8" ht="12.75" customHeight="1">
      <c r="A24" s="178" t="s">
        <v>249</v>
      </c>
      <c r="B24" s="271">
        <f>Tab01!B12</f>
        <v>79565.92</v>
      </c>
      <c r="C24" s="271">
        <f>Tab01!C12</f>
        <v>81704.67</v>
      </c>
      <c r="D24" s="271">
        <v>0</v>
      </c>
      <c r="E24" s="179">
        <f>D24*(1+Parâmetros!C14)*(1+Parâmetros!C18)</f>
        <v>0</v>
      </c>
      <c r="F24" s="179">
        <f>E24*(1+Parâmetros!D14)*(1+Parâmetros!D18)</f>
        <v>0</v>
      </c>
      <c r="G24" s="179">
        <f>F24*(1+Parâmetros!E14)*(1+Parâmetros!E18)</f>
        <v>0</v>
      </c>
      <c r="H24" s="179">
        <f>G24*(1+Parâmetros!F14)*(1+Parâmetros!F18)</f>
        <v>0</v>
      </c>
    </row>
    <row r="25" spans="1:8" ht="12.75" customHeight="1">
      <c r="A25" s="181" t="s">
        <v>195</v>
      </c>
      <c r="B25" s="182">
        <f aca="true" t="shared" si="2" ref="B25:H25">+B20+B21-B22-B23-B24</f>
        <v>408324.93</v>
      </c>
      <c r="C25" s="182">
        <f t="shared" si="2"/>
        <v>485129.27999999997</v>
      </c>
      <c r="D25" s="182">
        <f t="shared" si="2"/>
        <v>625100</v>
      </c>
      <c r="E25" s="182">
        <f t="shared" si="2"/>
        <v>661991.65172</v>
      </c>
      <c r="F25" s="182">
        <f t="shared" si="2"/>
        <v>734370.5089608062</v>
      </c>
      <c r="G25" s="182">
        <f t="shared" si="2"/>
        <v>814428.6443656774</v>
      </c>
      <c r="H25" s="266">
        <f t="shared" si="2"/>
        <v>814428.6443656774</v>
      </c>
    </row>
    <row r="26" spans="1:8" ht="12.75" customHeight="1">
      <c r="A26" s="183" t="s">
        <v>154</v>
      </c>
      <c r="B26" s="184">
        <f>+'Tab01-A'!B25</f>
        <v>13126152.91</v>
      </c>
      <c r="C26" s="184">
        <f>+'Tab01-A'!C25</f>
        <v>14234151.760000002</v>
      </c>
      <c r="D26" s="184">
        <f>+'Tab01-A'!D25</f>
        <v>13930755.14</v>
      </c>
      <c r="E26" s="184">
        <f>+'Tab01-A'!E25</f>
        <v>14762732.270657485</v>
      </c>
      <c r="F26" s="184">
        <f>+'Tab01-A'!F25</f>
        <v>17006873.811873212</v>
      </c>
      <c r="G26" s="184">
        <f>+'Tab01-A'!G25</f>
        <v>19660860.7155525</v>
      </c>
      <c r="H26" s="267">
        <f>+'Tab01-A'!H25</f>
        <v>22752016.106958363</v>
      </c>
    </row>
    <row r="27" spans="1:8" ht="12.75" customHeight="1">
      <c r="A27" s="183" t="s">
        <v>155</v>
      </c>
      <c r="B27" s="185">
        <f aca="true" t="shared" si="3" ref="B27:H27">IF(B26&lt;&gt;0,B25/B26,0)</f>
        <v>0.03110773832970684</v>
      </c>
      <c r="C27" s="185">
        <f t="shared" si="3"/>
        <v>0.03408206461331138</v>
      </c>
      <c r="D27" s="185">
        <f t="shared" si="3"/>
        <v>0.04487193936853591</v>
      </c>
      <c r="E27" s="185">
        <f t="shared" si="3"/>
        <v>0.04484208204708687</v>
      </c>
      <c r="F27" s="185">
        <f t="shared" si="3"/>
        <v>0.04318080542516352</v>
      </c>
      <c r="G27" s="185">
        <f t="shared" si="3"/>
        <v>0.04142385504625608</v>
      </c>
      <c r="H27" s="268">
        <f t="shared" si="3"/>
        <v>0.035795889056029484</v>
      </c>
    </row>
    <row r="28" spans="1:8" ht="12.75" customHeight="1">
      <c r="A28" s="308"/>
      <c r="B28" s="308"/>
      <c r="C28" s="308"/>
      <c r="D28" s="308"/>
      <c r="E28" s="308"/>
      <c r="F28" s="308"/>
      <c r="G28" s="308"/>
      <c r="H28" s="309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9">
    <mergeCell ref="A1:H1"/>
    <mergeCell ref="A3:H3"/>
    <mergeCell ref="A18:A19"/>
    <mergeCell ref="C18:H18"/>
    <mergeCell ref="A28:H28"/>
    <mergeCell ref="A2:H2"/>
    <mergeCell ref="C5:H5"/>
    <mergeCell ref="A5:A6"/>
    <mergeCell ref="A15:H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8" r:id="rId1"/>
  <headerFooter alignWithMargins="0">
    <oddHeader>&amp;L&amp;D, &amp;T&amp;CPág.&amp;P/&amp;N&amp;R&amp;F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G13"/>
  <sheetViews>
    <sheetView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7.421875" style="51" customWidth="1"/>
    <col min="2" max="5" width="14.7109375" style="51" customWidth="1"/>
    <col min="6" max="16384" width="9.140625" style="51" customWidth="1"/>
  </cols>
  <sheetData>
    <row r="1" spans="1:7" s="76" customFormat="1" ht="12.75" customHeight="1">
      <c r="A1" s="300" t="str">
        <f>+Tab01!A1</f>
        <v>MUNICÍPIO DE:</v>
      </c>
      <c r="B1" s="297"/>
      <c r="C1" s="297"/>
      <c r="D1" s="297"/>
      <c r="E1" s="297"/>
      <c r="F1" s="77"/>
      <c r="G1" s="77"/>
    </row>
    <row r="2" spans="1:7" s="76" customFormat="1" ht="12.75" customHeight="1">
      <c r="A2" s="311" t="s">
        <v>251</v>
      </c>
      <c r="B2" s="284"/>
      <c r="C2" s="284"/>
      <c r="D2" s="284"/>
      <c r="E2" s="284"/>
      <c r="F2" s="77"/>
      <c r="G2" s="77"/>
    </row>
    <row r="3" spans="1:7" ht="12.75" customHeight="1">
      <c r="A3" s="291" t="s">
        <v>257</v>
      </c>
      <c r="B3" s="292"/>
      <c r="C3" s="292"/>
      <c r="D3" s="292"/>
      <c r="E3" s="292"/>
      <c r="F3" s="71"/>
      <c r="G3" s="71"/>
    </row>
    <row r="4" spans="1:5" ht="12.75" customHeight="1">
      <c r="A4" s="186"/>
      <c r="B4" s="186"/>
      <c r="C4" s="186"/>
      <c r="D4" s="187"/>
      <c r="E4" s="188" t="s">
        <v>237</v>
      </c>
    </row>
    <row r="5" spans="1:7" ht="12.75" customHeight="1">
      <c r="A5" s="149"/>
      <c r="B5" s="146">
        <f>+C5-1</f>
        <v>2014</v>
      </c>
      <c r="C5" s="146">
        <f>+D5-1</f>
        <v>2015</v>
      </c>
      <c r="D5" s="146">
        <f>+E5-1</f>
        <v>2016</v>
      </c>
      <c r="E5" s="146">
        <f>+Tab05!H6</f>
        <v>2017</v>
      </c>
      <c r="F5" s="72"/>
      <c r="G5" s="72"/>
    </row>
    <row r="6" spans="1:5" ht="21.75" customHeight="1">
      <c r="A6" s="149" t="s">
        <v>172</v>
      </c>
      <c r="B6" s="111">
        <f>+B7+B12</f>
        <v>8537646.689535124</v>
      </c>
      <c r="C6" s="111">
        <f>+C7+C12</f>
        <v>9471110.290335448</v>
      </c>
      <c r="D6" s="111">
        <f>+D7+D12</f>
        <v>10503612.849746658</v>
      </c>
      <c r="E6" s="111">
        <f>+E7+E12</f>
        <v>11605680.039635101</v>
      </c>
    </row>
    <row r="7" spans="1:5" ht="21.75" customHeight="1">
      <c r="A7" s="189" t="s">
        <v>170</v>
      </c>
      <c r="B7" s="190">
        <f>+Tab05!E7+Tab05!E20</f>
        <v>8537646.689535124</v>
      </c>
      <c r="C7" s="190">
        <f>+Tab05!F7+Tab05!F20</f>
        <v>9471110.290335448</v>
      </c>
      <c r="D7" s="190">
        <f>+Tab05!G7+Tab05!G20</f>
        <v>10503612.849746658</v>
      </c>
      <c r="E7" s="190">
        <f>+Tab05!H7+Tab05!H20</f>
        <v>11605680.039635101</v>
      </c>
    </row>
    <row r="8" spans="1:5" ht="21.75" customHeight="1">
      <c r="A8" s="191" t="s">
        <v>48</v>
      </c>
      <c r="B8" s="112">
        <f>+Tab03!E22</f>
        <v>1418253.185775072</v>
      </c>
      <c r="C8" s="112">
        <f>+Tab03!F22</f>
        <v>1573317.8978417898</v>
      </c>
      <c r="D8" s="112">
        <f>+Tab03!G22</f>
        <v>1744834.7217929102</v>
      </c>
      <c r="E8" s="112">
        <f>+Tab03!H22</f>
        <v>1943295.7127190793</v>
      </c>
    </row>
    <row r="9" spans="1:5" ht="21.75" customHeight="1">
      <c r="A9" s="191" t="s">
        <v>49</v>
      </c>
      <c r="B9" s="112">
        <f>+Tab02!E27</f>
        <v>2332503.6179080405</v>
      </c>
      <c r="C9" s="112">
        <f>+Tab02!F27</f>
        <v>2587527.900972016</v>
      </c>
      <c r="D9" s="112">
        <f>+Tab02!G27</f>
        <v>2869609.8426243807</v>
      </c>
      <c r="E9" s="112">
        <f>+Tab02!H27</f>
        <v>3196005.0053441627</v>
      </c>
    </row>
    <row r="10" spans="1:5" ht="21.75" customHeight="1">
      <c r="A10" s="191" t="s">
        <v>50</v>
      </c>
      <c r="B10" s="112">
        <f>Tab04!C34</f>
        <v>663336.41</v>
      </c>
      <c r="C10" s="112">
        <f>Tab04!D34</f>
        <v>698161.571525</v>
      </c>
      <c r="D10" s="112">
        <f>Tab04!E34</f>
        <v>733907.44398708</v>
      </c>
      <c r="E10" s="112">
        <f>Tab04!F34</f>
        <v>771116.5513972249</v>
      </c>
    </row>
    <row r="11" spans="1:5" ht="21.75" customHeight="1">
      <c r="A11" s="191" t="s">
        <v>51</v>
      </c>
      <c r="B11" s="112">
        <f>+B7-SUM(B8:B10)</f>
        <v>4123553.4758520117</v>
      </c>
      <c r="C11" s="112">
        <f>+C7-SUM(C8:C10)</f>
        <v>4612102.9199966425</v>
      </c>
      <c r="D11" s="112">
        <f>+D7-SUM(D8:D10)</f>
        <v>5155260.841342286</v>
      </c>
      <c r="E11" s="112">
        <f>+E7-SUM(E8:E10)</f>
        <v>5695262.770174635</v>
      </c>
    </row>
    <row r="12" spans="1:5" ht="21.75" customHeight="1">
      <c r="A12" s="192" t="s">
        <v>169</v>
      </c>
      <c r="B12" s="111">
        <f>+Tab05!E8-Tab05!E9</f>
        <v>0</v>
      </c>
      <c r="C12" s="111">
        <f>+Tab05!F8-Tab05!F9</f>
        <v>0</v>
      </c>
      <c r="D12" s="111">
        <f>+Tab05!G8-Tab05!G9</f>
        <v>0</v>
      </c>
      <c r="E12" s="111">
        <f>+Tab05!H8-Tab05!H9</f>
        <v>0</v>
      </c>
    </row>
    <row r="13" spans="1:5" ht="12.75" customHeight="1">
      <c r="A13" s="92" t="s">
        <v>171</v>
      </c>
      <c r="B13" s="255"/>
      <c r="C13" s="255"/>
      <c r="D13" s="255"/>
      <c r="E13" s="255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  <headerFooter alignWithMargins="0">
    <oddHeader>&amp;L&amp;D, &amp;T&amp;CPág.&amp;P/&amp;N&amp;R&amp;F -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F31"/>
  <sheetViews>
    <sheetView showGridLines="0" zoomScale="75" zoomScaleNormal="75" zoomScalePageLayoutView="0" workbookViewId="0" topLeftCell="A1">
      <pane xSplit="1" ySplit="7" topLeftCell="B25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B30" sqref="B30"/>
    </sheetView>
  </sheetViews>
  <sheetFormatPr defaultColWidth="9.140625" defaultRowHeight="24" customHeight="1"/>
  <cols>
    <col min="1" max="1" width="73.421875" style="6" customWidth="1"/>
    <col min="2" max="9" width="22.7109375" style="6" customWidth="1"/>
    <col min="10" max="16384" width="9.140625" style="6" customWidth="1"/>
  </cols>
  <sheetData>
    <row r="1" s="5" customFormat="1" ht="24" customHeight="1">
      <c r="A1" s="5" t="s">
        <v>22</v>
      </c>
    </row>
    <row r="2" s="5" customFormat="1" ht="24" customHeight="1">
      <c r="A2" s="5" t="e">
        <f>#REF!</f>
        <v>#REF!</v>
      </c>
    </row>
    <row r="3" spans="1:5" s="5" customFormat="1" ht="24" customHeight="1">
      <c r="A3" s="5" t="s">
        <v>23</v>
      </c>
      <c r="E3" s="8"/>
    </row>
    <row r="4" s="5" customFormat="1" ht="24" customHeight="1">
      <c r="A4" s="5" t="s">
        <v>74</v>
      </c>
    </row>
    <row r="5" ht="24" customHeight="1">
      <c r="F5" s="11" t="s">
        <v>0</v>
      </c>
    </row>
    <row r="6" spans="1:6" ht="24" customHeight="1" hidden="1">
      <c r="A6" s="24"/>
      <c r="B6" s="312" t="s">
        <v>73</v>
      </c>
      <c r="C6" s="312"/>
      <c r="D6" s="312"/>
      <c r="E6" s="312"/>
      <c r="F6" s="312"/>
    </row>
    <row r="7" spans="1:6" ht="24" customHeight="1">
      <c r="A7" s="12"/>
      <c r="B7" s="12">
        <v>2001</v>
      </c>
      <c r="C7" s="12">
        <v>2002</v>
      </c>
      <c r="D7" s="12">
        <v>2003</v>
      </c>
      <c r="E7" s="12">
        <v>2004</v>
      </c>
      <c r="F7" s="12">
        <v>2005</v>
      </c>
    </row>
    <row r="8" spans="1:6" ht="24" customHeight="1" hidden="1">
      <c r="A8" s="13" t="s">
        <v>8</v>
      </c>
      <c r="B8" s="7">
        <f>SUM(B9:B13)</f>
        <v>2063957.9499999997</v>
      </c>
      <c r="C8" s="7">
        <f>SUM(C9:C13)</f>
        <v>1714818.77</v>
      </c>
      <c r="D8" s="7">
        <f>SUM(D9:D13)</f>
        <v>1865350.70608691</v>
      </c>
      <c r="E8" s="7">
        <f>SUM(E9:E13)</f>
        <v>2026106.6299374802</v>
      </c>
      <c r="F8" s="7">
        <f>SUM(F9:F13)</f>
        <v>2206517.647808329</v>
      </c>
    </row>
    <row r="9" spans="1:6" ht="24" customHeight="1" hidden="1">
      <c r="A9" s="10" t="s">
        <v>9</v>
      </c>
      <c r="B9" s="2">
        <f>+Tab01!C9</f>
        <v>991563.46</v>
      </c>
      <c r="C9" s="2">
        <f>+Tab01!D9</f>
        <v>800095.04</v>
      </c>
      <c r="D9" s="2">
        <f>+Tab01!E9</f>
        <v>870329.78289632</v>
      </c>
      <c r="E9" s="2">
        <f>+Tab01!F9</f>
        <v>945334.803586325</v>
      </c>
      <c r="F9" s="2">
        <f>+Tab01!G9</f>
        <v>1029510.4395690227</v>
      </c>
    </row>
    <row r="10" spans="1:6" ht="24" customHeight="1" hidden="1">
      <c r="A10" s="10" t="s">
        <v>10</v>
      </c>
      <c r="B10" s="2">
        <f>+Tab01!C11</f>
        <v>44165.45</v>
      </c>
      <c r="C10" s="2">
        <f>+Tab01!D11</f>
        <v>65816.74</v>
      </c>
      <c r="D10" s="2">
        <f>+Tab01!E11</f>
        <v>71594.33088742</v>
      </c>
      <c r="E10" s="2">
        <f>+Tab01!F11</f>
        <v>77764.33032329785</v>
      </c>
      <c r="F10" s="2">
        <f>+Tab01!G11</f>
        <v>84688.71514114132</v>
      </c>
    </row>
    <row r="11" spans="1:6" ht="24" customHeight="1" hidden="1">
      <c r="A11" s="10" t="s">
        <v>11</v>
      </c>
      <c r="B11" s="2">
        <f>+Tab01!C10</f>
        <v>946524.37</v>
      </c>
      <c r="C11" s="2">
        <f>+Tab01!D10</f>
        <v>775159.26</v>
      </c>
      <c r="D11" s="2">
        <f>+Tab01!E10</f>
        <v>843205.06532058</v>
      </c>
      <c r="E11" s="2">
        <f>+Tab01!F10</f>
        <v>915872.4778499077</v>
      </c>
      <c r="F11" s="2">
        <f>+Tab01!G10</f>
        <v>997424.6940695925</v>
      </c>
    </row>
    <row r="12" spans="1:6" ht="24" customHeight="1" hidden="1">
      <c r="A12" s="10" t="s">
        <v>12</v>
      </c>
      <c r="B12" s="2"/>
      <c r="C12" s="2"/>
      <c r="D12" s="2"/>
      <c r="E12" s="2"/>
      <c r="F12" s="2"/>
    </row>
    <row r="13" spans="1:6" ht="24" customHeight="1" hidden="1">
      <c r="A13" s="10" t="s">
        <v>24</v>
      </c>
      <c r="B13" s="2">
        <f>+Tab01!C12</f>
        <v>81704.67</v>
      </c>
      <c r="C13" s="2">
        <f>+Tab01!D12</f>
        <v>73747.73</v>
      </c>
      <c r="D13" s="2">
        <f>+Tab01!E12</f>
        <v>80221.52698259</v>
      </c>
      <c r="E13" s="2">
        <f>+Tab01!F12</f>
        <v>87135.01817794962</v>
      </c>
      <c r="F13" s="2">
        <f>+Tab01!G12</f>
        <v>94893.79902857241</v>
      </c>
    </row>
    <row r="14" spans="1:6" ht="24" customHeight="1" hidden="1">
      <c r="A14" s="14" t="s">
        <v>13</v>
      </c>
      <c r="B14" s="7" t="e">
        <f>SUM(B15:B21)</f>
        <v>#REF!</v>
      </c>
      <c r="C14" s="7" t="e">
        <f>SUM(C15:C21)</f>
        <v>#REF!</v>
      </c>
      <c r="D14" s="7" t="e">
        <f>SUM(D15:D21)</f>
        <v>#REF!</v>
      </c>
      <c r="E14" s="7" t="e">
        <f>SUM(E15:E21)</f>
        <v>#REF!</v>
      </c>
      <c r="F14" s="7" t="e">
        <f>SUM(F15:F21)</f>
        <v>#REF!</v>
      </c>
    </row>
    <row r="15" spans="1:6" ht="24" customHeight="1" hidden="1">
      <c r="A15" s="10" t="s">
        <v>25</v>
      </c>
      <c r="B15" s="2">
        <f>+Tab01!C33</f>
        <v>0</v>
      </c>
      <c r="C15" s="2">
        <f>+Tab01!D33</f>
        <v>0</v>
      </c>
      <c r="D15" s="2">
        <f>+Tab01!E33</f>
        <v>0</v>
      </c>
      <c r="E15" s="2">
        <f>+Tab01!F33</f>
        <v>0</v>
      </c>
      <c r="F15" s="2">
        <f>+Tab01!G33</f>
        <v>0</v>
      </c>
    </row>
    <row r="16" spans="1:6" ht="24" customHeight="1" hidden="1">
      <c r="A16" s="10" t="s">
        <v>14</v>
      </c>
      <c r="B16" s="2">
        <f>+Tab01!C34</f>
        <v>20925.42</v>
      </c>
      <c r="C16" s="2">
        <f>+Tab01!D34</f>
        <v>29295.58</v>
      </c>
      <c r="D16" s="2">
        <f>+Tab01!E34</f>
        <v>30939.062038000004</v>
      </c>
      <c r="E16" s="2">
        <f>+Tab01!F34</f>
        <v>32563.362794995002</v>
      </c>
      <c r="F16" s="2">
        <f>+Tab01!G34</f>
        <v>34230.60697009874</v>
      </c>
    </row>
    <row r="17" spans="1:6" ht="24" customHeight="1" hidden="1">
      <c r="A17" s="10" t="s">
        <v>15</v>
      </c>
      <c r="B17" s="2">
        <f>+Tab01!C52</f>
        <v>92239.15</v>
      </c>
      <c r="C17" s="2">
        <f>+Tab01!D52</f>
        <v>97898.38</v>
      </c>
      <c r="D17" s="2">
        <f>+Tab01!E52</f>
        <v>112178.66984303</v>
      </c>
      <c r="E17" s="2">
        <f>+Tab01!F52</f>
        <v>129166.44671070926</v>
      </c>
      <c r="F17" s="2">
        <f>+Tab01!G52</f>
        <v>149357.74566052732</v>
      </c>
    </row>
    <row r="18" spans="1:6" ht="24" customHeight="1" hidden="1">
      <c r="A18" s="10" t="s">
        <v>16</v>
      </c>
      <c r="B18" s="2">
        <f>+Tab01!C35</f>
        <v>0</v>
      </c>
      <c r="C18" s="2">
        <f>+Tab01!D35</f>
        <v>0</v>
      </c>
      <c r="D18" s="2">
        <f>+Tab01!E35</f>
        <v>0</v>
      </c>
      <c r="E18" s="2">
        <f>+Tab01!F35</f>
        <v>0</v>
      </c>
      <c r="F18" s="2">
        <f>+Tab01!G35</f>
        <v>0</v>
      </c>
    </row>
    <row r="19" spans="1:6" ht="24" customHeight="1" hidden="1">
      <c r="A19" s="10" t="s">
        <v>17</v>
      </c>
      <c r="B19" s="2" t="e">
        <f>+Tab01!#REF!</f>
        <v>#REF!</v>
      </c>
      <c r="C19" s="2" t="e">
        <f>+Tab01!#REF!</f>
        <v>#REF!</v>
      </c>
      <c r="D19" s="2" t="e">
        <f>+Tab01!#REF!</f>
        <v>#REF!</v>
      </c>
      <c r="E19" s="2" t="e">
        <f>+Tab01!#REF!</f>
        <v>#REF!</v>
      </c>
      <c r="F19" s="2" t="e">
        <f>+Tab01!#REF!</f>
        <v>#REF!</v>
      </c>
    </row>
    <row r="20" spans="1:6" ht="24" customHeight="1" hidden="1">
      <c r="A20" s="10" t="s">
        <v>18</v>
      </c>
      <c r="B20" s="2">
        <f>+Tab01!C36</f>
        <v>20925.42</v>
      </c>
      <c r="C20" s="2">
        <f>+Tab01!D36</f>
        <v>29295.58</v>
      </c>
      <c r="D20" s="2">
        <f>+Tab01!E36</f>
        <v>30939.062038000004</v>
      </c>
      <c r="E20" s="2">
        <f>+Tab01!F36</f>
        <v>32563.362794995002</v>
      </c>
      <c r="F20" s="2">
        <f>+Tab01!G36</f>
        <v>34230.60697009874</v>
      </c>
    </row>
    <row r="21" spans="1:6" ht="24" customHeight="1" hidden="1">
      <c r="A21" s="10" t="s">
        <v>19</v>
      </c>
      <c r="B21" s="2">
        <f>+Tab01!C42</f>
        <v>0</v>
      </c>
      <c r="C21" s="2">
        <f>+Tab01!D42</f>
        <v>0</v>
      </c>
      <c r="D21" s="2">
        <f>+Tab01!E42</f>
        <v>0</v>
      </c>
      <c r="E21" s="2">
        <f>+Tab01!F42</f>
        <v>0</v>
      </c>
      <c r="F21" s="2">
        <f>+Tab01!G42</f>
        <v>0</v>
      </c>
    </row>
    <row r="22" spans="1:6" ht="24" customHeight="1" hidden="1">
      <c r="A22" s="15" t="s">
        <v>26</v>
      </c>
      <c r="B22" s="16" t="e">
        <f>B8+B14</f>
        <v>#REF!</v>
      </c>
      <c r="C22" s="16" t="e">
        <f>C8+C14</f>
        <v>#REF!</v>
      </c>
      <c r="D22" s="16" t="e">
        <f>D8+D14</f>
        <v>#REF!</v>
      </c>
      <c r="E22" s="16" t="e">
        <f>E8+E14</f>
        <v>#REF!</v>
      </c>
      <c r="F22" s="16" t="e">
        <f>F8+F14</f>
        <v>#REF!</v>
      </c>
    </row>
    <row r="23" spans="1:6" ht="24" customHeight="1" hidden="1">
      <c r="A23" s="17" t="s">
        <v>27</v>
      </c>
      <c r="B23" s="18"/>
      <c r="C23" s="19"/>
      <c r="D23" s="9"/>
      <c r="E23" s="9"/>
      <c r="F23" s="9"/>
    </row>
    <row r="24" spans="1:6" ht="24" customHeight="1" hidden="1">
      <c r="A24" s="20" t="s">
        <v>55</v>
      </c>
      <c r="B24" s="21">
        <v>0.07</v>
      </c>
      <c r="C24" s="19"/>
      <c r="D24" s="9"/>
      <c r="E24" s="9"/>
      <c r="F24" s="9"/>
    </row>
    <row r="25" spans="1:6" ht="24" customHeight="1">
      <c r="A25" s="22" t="s">
        <v>28</v>
      </c>
      <c r="B25" s="23"/>
      <c r="C25" s="23"/>
      <c r="D25" s="23"/>
      <c r="E25" s="23"/>
      <c r="F25" s="23"/>
    </row>
    <row r="26" spans="1:6" ht="24" customHeight="1">
      <c r="A26" s="1" t="str">
        <f>CONCATENATE("Legislativo Total (A) = ",TEXT(B24,"0,0%")," de Base de Cálculo")</f>
        <v>Legislativo Total (A) = 7,0% de Base de Cálculo</v>
      </c>
      <c r="B26" s="4" t="e">
        <f>Tab04!B29/#REF!</f>
        <v>#REF!</v>
      </c>
      <c r="C26" s="4" t="e">
        <f>Tab04!C29/#REF!</f>
        <v>#REF!</v>
      </c>
      <c r="D26" s="4" t="e">
        <f>Tab04!D29/#REF!</f>
        <v>#REF!</v>
      </c>
      <c r="E26" s="4" t="e">
        <f>Tab04!E29/#REF!</f>
        <v>#REF!</v>
      </c>
      <c r="F26" s="4" t="e">
        <f>Tab04!F29/#REF!</f>
        <v>#REF!</v>
      </c>
    </row>
    <row r="27" spans="1:6" ht="24" customHeight="1">
      <c r="A27" s="1" t="s">
        <v>75</v>
      </c>
      <c r="B27" s="4" t="e">
        <f>+B26*70%</f>
        <v>#REF!</v>
      </c>
      <c r="C27" s="4" t="e">
        <f>+C26*70%</f>
        <v>#REF!</v>
      </c>
      <c r="D27" s="4" t="e">
        <f>+D26*70%</f>
        <v>#REF!</v>
      </c>
      <c r="E27" s="4" t="e">
        <f>+E26*70%</f>
        <v>#REF!</v>
      </c>
      <c r="F27" s="4" t="e">
        <f>+F26*70%</f>
        <v>#REF!</v>
      </c>
    </row>
    <row r="28" spans="2:6" ht="24" customHeight="1">
      <c r="B28" s="25"/>
      <c r="C28" s="26"/>
      <c r="D28" s="3"/>
      <c r="E28" s="3"/>
      <c r="F28" s="3"/>
    </row>
    <row r="29" spans="1:6" ht="24" customHeight="1">
      <c r="A29" s="22" t="s">
        <v>29</v>
      </c>
      <c r="B29" s="27"/>
      <c r="C29" s="27"/>
      <c r="D29" s="27"/>
      <c r="E29" s="27"/>
      <c r="F29" s="27"/>
    </row>
    <row r="30" spans="1:6" ht="24" customHeight="1">
      <c r="A30" s="1" t="s">
        <v>30</v>
      </c>
      <c r="B30" s="4" t="e">
        <f>Tab04!B33/#REF!</f>
        <v>#REF!</v>
      </c>
      <c r="C30" s="4" t="e">
        <f>Tab04!C33/#REF!</f>
        <v>#REF!</v>
      </c>
      <c r="D30" s="4" t="e">
        <f>Tab04!D33/#REF!</f>
        <v>#REF!</v>
      </c>
      <c r="E30" s="4" t="e">
        <f>Tab04!E33/#REF!</f>
        <v>#REF!</v>
      </c>
      <c r="F30" s="4" t="e">
        <f>Tab04!F33/#REF!</f>
        <v>#REF!</v>
      </c>
    </row>
    <row r="31" spans="1:6" ht="24" customHeight="1">
      <c r="A31" s="1" t="s">
        <v>31</v>
      </c>
      <c r="B31" s="4" t="e">
        <f>Tab04!B34/#REF!</f>
        <v>#REF!</v>
      </c>
      <c r="C31" s="4" t="e">
        <f>Tab04!C34/#REF!</f>
        <v>#REF!</v>
      </c>
      <c r="D31" s="4" t="e">
        <f>Tab04!D34/#REF!</f>
        <v>#REF!</v>
      </c>
      <c r="E31" s="4" t="e">
        <f>Tab04!E34/#REF!</f>
        <v>#REF!</v>
      </c>
      <c r="F31" s="4" t="e">
        <f>Tab04!F34/#REF!</f>
        <v>#REF!</v>
      </c>
    </row>
  </sheetData>
  <sheetProtection/>
  <mergeCells count="1">
    <mergeCell ref="B6:F6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 Garson Braule Pinto</dc:creator>
  <cp:keywords/>
  <dc:description/>
  <cp:lastModifiedBy>Windows 7 Pro</cp:lastModifiedBy>
  <cp:lastPrinted>2013-05-27T12:00:17Z</cp:lastPrinted>
  <dcterms:created xsi:type="dcterms:W3CDTF">2001-06-21T00:51:05Z</dcterms:created>
  <dcterms:modified xsi:type="dcterms:W3CDTF">2016-11-29T15:30:48Z</dcterms:modified>
  <cp:category/>
  <cp:version/>
  <cp:contentType/>
  <cp:contentStatus/>
</cp:coreProperties>
</file>